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1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aibasetsuya/Dropbox/"/>
    </mc:Choice>
  </mc:AlternateContent>
  <xr:revisionPtr revIDLastSave="0" documentId="8_{6ACEABDA-B552-E646-9314-CA37EEC17C61}" xr6:coauthVersionLast="47" xr6:coauthVersionMax="47" xr10:uidLastSave="{00000000-0000-0000-0000-000000000000}"/>
  <bookViews>
    <workbookView xWindow="520" yWindow="520" windowWidth="47560" windowHeight="25680" tabRatio="659" xr2:uid="{00000000-000D-0000-FFFF-FFFF00000000}"/>
  </bookViews>
  <sheets>
    <sheet name="FaceSheet" sheetId="11" r:id="rId1"/>
    <sheet name="Data Input" sheetId="6" r:id="rId2"/>
    <sheet name="ResultFormat" sheetId="8" r:id="rId3"/>
    <sheet name="Graph" sheetId="13" r:id="rId4"/>
    <sheet name="LED" sheetId="20" r:id="rId5"/>
    <sheet name="Control" sheetId="2" r:id="rId6"/>
    <sheet name="Transmittance" sheetId="7" r:id="rId7"/>
    <sheet name="4NBB, Lactic acid" sheetId="18" r:id="rId8"/>
    <sheet name="95%" sheetId="21" r:id="rId9"/>
    <sheet name="Judge" sheetId="22" r:id="rId10"/>
    <sheet name="Update log" sheetId="23" r:id="rId11"/>
    <sheet name="Update log JP" sheetId="14" state="hidden" r:id="rId12"/>
  </sheets>
  <definedNames>
    <definedName name="ddw" localSheetId="4">#REF!</definedName>
    <definedName name="ddw" localSheetId="2">ResultFormat!$O$1:$O$21</definedName>
    <definedName name="destilledwater" localSheetId="4">#REF!</definedName>
    <definedName name="dissolved">FaceSheet!$J$21:$S$21</definedName>
    <definedName name="distilledwater" localSheetId="4">#REF!</definedName>
    <definedName name="DMSO" localSheetId="4">#REF!</definedName>
    <definedName name="DMSO" localSheetId="2">ResultFormat!$P$2:$P$22</definedName>
    <definedName name="not_dissolved">FaceSheet!$J$22:$S$22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0" i="11" l="1"/>
  <c r="B7" i="18" a="1"/>
  <c r="E10" i="18" s="1"/>
  <c r="J28" i="18"/>
  <c r="J29" i="18"/>
  <c r="L28" i="18" a="1"/>
  <c r="L28" i="18" s="1"/>
  <c r="B18" i="18" a="1"/>
  <c r="D21" i="18" s="1"/>
  <c r="B10" i="18"/>
  <c r="C9" i="18"/>
  <c r="D18" i="18"/>
  <c r="D20" i="18"/>
  <c r="E7" i="18"/>
  <c r="E19" i="18"/>
  <c r="E9" i="18"/>
  <c r="B7" i="8" a="1"/>
  <c r="B7" i="8" s="1"/>
  <c r="J28" i="8"/>
  <c r="J29" i="8"/>
  <c r="L28" i="8" s="1" a="1"/>
  <c r="B18" i="8" a="1"/>
  <c r="B20" i="8" s="1"/>
  <c r="B18" i="8"/>
  <c r="B19" i="8"/>
  <c r="B10" i="8"/>
  <c r="B21" i="8"/>
  <c r="M7" i="8"/>
  <c r="M8" i="8"/>
  <c r="M19" i="8"/>
  <c r="M20" i="8"/>
  <c r="M10" i="8"/>
  <c r="L1" i="21"/>
  <c r="L2" i="21" s="1"/>
  <c r="L7" i="8"/>
  <c r="L18" i="8"/>
  <c r="L8" i="8"/>
  <c r="L19" i="8"/>
  <c r="L10" i="8"/>
  <c r="L21" i="8"/>
  <c r="K7" i="8"/>
  <c r="K18" i="8"/>
  <c r="K8" i="8"/>
  <c r="K19" i="8"/>
  <c r="K10" i="8"/>
  <c r="K21" i="8"/>
  <c r="J7" i="8"/>
  <c r="J18" i="8"/>
  <c r="J8" i="8"/>
  <c r="J19" i="8"/>
  <c r="J10" i="8"/>
  <c r="J21" i="8"/>
  <c r="I7" i="8"/>
  <c r="I18" i="8"/>
  <c r="I8" i="8"/>
  <c r="I19" i="8"/>
  <c r="I10" i="8"/>
  <c r="I21" i="8"/>
  <c r="H7" i="8"/>
  <c r="H18" i="8"/>
  <c r="H8" i="8"/>
  <c r="H19" i="8"/>
  <c r="H10" i="8"/>
  <c r="H21" i="8"/>
  <c r="G7" i="8"/>
  <c r="G18" i="8"/>
  <c r="G8" i="8"/>
  <c r="G19" i="8"/>
  <c r="G10" i="8"/>
  <c r="G21" i="8"/>
  <c r="F7" i="8"/>
  <c r="F18" i="8"/>
  <c r="F8" i="8"/>
  <c r="F19" i="8"/>
  <c r="F10" i="8"/>
  <c r="F21" i="8"/>
  <c r="E7" i="8"/>
  <c r="E18" i="8"/>
  <c r="E8" i="8"/>
  <c r="E19" i="8"/>
  <c r="E10" i="8"/>
  <c r="E21" i="8"/>
  <c r="D7" i="8"/>
  <c r="D18" i="8"/>
  <c r="D8" i="8"/>
  <c r="D19" i="8"/>
  <c r="D10" i="8"/>
  <c r="D21" i="8"/>
  <c r="C7" i="8"/>
  <c r="C18" i="8"/>
  <c r="C8" i="8"/>
  <c r="C19" i="8"/>
  <c r="C10" i="8"/>
  <c r="C21" i="8"/>
  <c r="N10" i="11"/>
  <c r="A83" i="8"/>
  <c r="M84" i="8"/>
  <c r="I90" i="8" s="1"/>
  <c r="G91" i="8"/>
  <c r="G84" i="8" s="1"/>
  <c r="O10" i="11"/>
  <c r="P22" i="20"/>
  <c r="Q22" i="20"/>
  <c r="R22" i="20"/>
  <c r="P23" i="20"/>
  <c r="Q23" i="20"/>
  <c r="R23" i="20"/>
  <c r="P24" i="20"/>
  <c r="Q24" i="20"/>
  <c r="R24" i="20"/>
  <c r="G37" i="13"/>
  <c r="L90" i="8"/>
  <c r="O32" i="8"/>
  <c r="O31" i="8"/>
  <c r="O30" i="8"/>
  <c r="O29" i="8"/>
  <c r="O28" i="8"/>
  <c r="O27" i="8"/>
  <c r="O26" i="8"/>
  <c r="O25" i="8"/>
  <c r="O24" i="8"/>
  <c r="O23" i="8"/>
  <c r="O22" i="8"/>
  <c r="O21" i="8"/>
  <c r="O20" i="8"/>
  <c r="O19" i="8"/>
  <c r="O18" i="8"/>
  <c r="O17" i="8"/>
  <c r="O16" i="8"/>
  <c r="O15" i="8"/>
  <c r="O14" i="8"/>
  <c r="O13" i="8"/>
  <c r="O12" i="8"/>
  <c r="O11" i="8"/>
  <c r="O10" i="8"/>
  <c r="O9" i="8"/>
  <c r="O8" i="8"/>
  <c r="O7" i="8"/>
  <c r="O6" i="8"/>
  <c r="O5" i="8"/>
  <c r="O4" i="8"/>
  <c r="O3" i="8"/>
  <c r="O2" i="8"/>
  <c r="O1" i="8"/>
  <c r="J91" i="8"/>
  <c r="F91" i="8"/>
  <c r="F84" i="8" s="1"/>
  <c r="D91" i="8"/>
  <c r="K90" i="8"/>
  <c r="E90" i="8"/>
  <c r="B18" i="7" a="1"/>
  <c r="F22" i="7" s="1"/>
  <c r="B7" i="7" a="1"/>
  <c r="B8" i="7" s="1"/>
  <c r="D23" i="7"/>
  <c r="B7" i="2" a="1"/>
  <c r="L8" i="2" s="1"/>
  <c r="J27" i="2"/>
  <c r="J28" i="2"/>
  <c r="B18" i="2" a="1"/>
  <c r="C12" i="2"/>
  <c r="E11" i="7"/>
  <c r="M7" i="2"/>
  <c r="G11" i="7"/>
  <c r="C7" i="7"/>
  <c r="J13" i="7"/>
  <c r="B9" i="7"/>
  <c r="E7" i="2"/>
  <c r="D13" i="2"/>
  <c r="B25" i="7"/>
  <c r="H24" i="7"/>
  <c r="I25" i="7"/>
  <c r="J13" i="2"/>
  <c r="F11" i="2"/>
  <c r="K23" i="7"/>
  <c r="J10" i="2"/>
  <c r="K10" i="2"/>
  <c r="D11" i="2"/>
  <c r="E14" i="7"/>
  <c r="M7" i="7"/>
  <c r="L14" i="7"/>
  <c r="M11" i="7"/>
  <c r="I14" i="7"/>
  <c r="I12" i="7"/>
  <c r="D11" i="7"/>
  <c r="K13" i="7"/>
  <c r="F7" i="7"/>
  <c r="H12" i="7"/>
  <c r="D7" i="7"/>
  <c r="K11" i="7"/>
  <c r="C9" i="7"/>
  <c r="B13" i="7"/>
  <c r="F9" i="7"/>
  <c r="E8" i="7"/>
  <c r="F13" i="8"/>
  <c r="B22" i="8"/>
  <c r="I24" i="8"/>
  <c r="F19" i="18"/>
  <c r="F11" i="18"/>
  <c r="J20" i="18"/>
  <c r="F7" i="18"/>
  <c r="K9" i="18"/>
  <c r="M9" i="18"/>
  <c r="G11" i="18"/>
  <c r="I25" i="18"/>
  <c r="L22" i="18"/>
  <c r="H19" i="18"/>
  <c r="H24" i="8"/>
  <c r="F12" i="2"/>
  <c r="D12" i="2"/>
  <c r="B7" i="2"/>
  <c r="L12" i="2"/>
  <c r="D10" i="2"/>
  <c r="H7" i="2"/>
  <c r="H13" i="2"/>
  <c r="D8" i="2"/>
  <c r="H14" i="2"/>
  <c r="H12" i="2"/>
  <c r="H10" i="2"/>
  <c r="C11" i="2"/>
  <c r="C10" i="2"/>
  <c r="G8" i="2"/>
  <c r="K7" i="2"/>
  <c r="C7" i="2"/>
  <c r="B14" i="2"/>
  <c r="B13" i="2"/>
  <c r="B11" i="2"/>
  <c r="F13" i="2"/>
  <c r="G9" i="2"/>
  <c r="G13" i="2"/>
  <c r="H8" i="2"/>
  <c r="L13" i="2"/>
  <c r="M11" i="2"/>
  <c r="E11" i="2"/>
  <c r="M14" i="2"/>
  <c r="M19" i="7"/>
  <c r="B18" i="7"/>
  <c r="D24" i="7"/>
  <c r="H20" i="7"/>
  <c r="G20" i="7"/>
  <c r="M24" i="7"/>
  <c r="M20" i="7"/>
  <c r="B24" i="7"/>
  <c r="L23" i="7"/>
  <c r="E19" i="7"/>
  <c r="C24" i="18"/>
  <c r="L20" i="18"/>
  <c r="D24" i="18"/>
  <c r="E24" i="18"/>
  <c r="M20" i="18"/>
  <c r="M22" i="18"/>
  <c r="H11" i="2"/>
  <c r="I7" i="2"/>
  <c r="K14" i="2"/>
  <c r="J14" i="2"/>
  <c r="H22" i="7"/>
  <c r="J12" i="2"/>
  <c r="F14" i="2"/>
  <c r="C8" i="2"/>
  <c r="K9" i="2"/>
  <c r="K13" i="2"/>
  <c r="E24" i="7"/>
  <c r="C24" i="7"/>
  <c r="H23" i="7"/>
  <c r="M10" i="2"/>
  <c r="H9" i="2"/>
  <c r="H21" i="7"/>
  <c r="J21" i="18"/>
  <c r="F23" i="18"/>
  <c r="G22" i="18"/>
  <c r="G18" i="18"/>
  <c r="C23" i="18"/>
  <c r="H24" i="18"/>
  <c r="L21" i="18"/>
  <c r="J23" i="18"/>
  <c r="J25" i="18"/>
  <c r="I21" i="2"/>
  <c r="L24" i="2"/>
  <c r="C25" i="18"/>
  <c r="K22" i="18"/>
  <c r="L19" i="18"/>
  <c r="H23" i="18"/>
  <c r="F25" i="18"/>
  <c r="M25" i="18"/>
  <c r="K23" i="18"/>
  <c r="G19" i="18"/>
  <c r="G24" i="18"/>
  <c r="J22" i="18"/>
  <c r="C8" i="7"/>
  <c r="G8" i="7"/>
  <c r="M9" i="7"/>
  <c r="H13" i="7"/>
  <c r="C11" i="7"/>
  <c r="B11" i="7"/>
  <c r="D14" i="7"/>
  <c r="I9" i="7"/>
  <c r="B7" i="7"/>
  <c r="E7" i="7"/>
  <c r="J14" i="7"/>
  <c r="H11" i="7"/>
  <c r="G13" i="7"/>
  <c r="F14" i="7"/>
  <c r="L22" i="8"/>
  <c r="F22" i="18"/>
  <c r="J19" i="18"/>
  <c r="H18" i="18"/>
  <c r="D22" i="18"/>
  <c r="L23" i="18"/>
  <c r="I22" i="18"/>
  <c r="I19" i="18"/>
  <c r="H25" i="18"/>
  <c r="K21" i="18"/>
  <c r="M18" i="18"/>
  <c r="I21" i="18"/>
  <c r="G25" i="18"/>
  <c r="I11" i="7"/>
  <c r="K7" i="7"/>
  <c r="H9" i="7"/>
  <c r="G9" i="7"/>
  <c r="D13" i="7"/>
  <c r="E9" i="7"/>
  <c r="M14" i="7"/>
  <c r="C13" i="7"/>
  <c r="J12" i="7"/>
  <c r="K9" i="7"/>
  <c r="L7" i="7"/>
  <c r="H10" i="7"/>
  <c r="B19" i="7"/>
  <c r="D31" i="7" s="1"/>
  <c r="K19" i="7"/>
  <c r="D34" i="7" s="1"/>
  <c r="J18" i="7"/>
  <c r="L24" i="7"/>
  <c r="L22" i="7"/>
  <c r="D20" i="7"/>
  <c r="G25" i="7"/>
  <c r="C22" i="7"/>
  <c r="K18" i="7"/>
  <c r="I24" i="7"/>
  <c r="E22" i="7"/>
  <c r="M18" i="7"/>
  <c r="E18" i="7"/>
  <c r="H18" i="7"/>
  <c r="I18" i="7"/>
  <c r="D19" i="7"/>
  <c r="L20" i="2"/>
  <c r="E22" i="18"/>
  <c r="M23" i="18"/>
  <c r="G22" i="8"/>
  <c r="F22" i="8"/>
  <c r="F11" i="7"/>
  <c r="C14" i="7"/>
  <c r="L13" i="7"/>
  <c r="M8" i="7"/>
  <c r="F23" i="8"/>
  <c r="J13" i="8"/>
  <c r="C11" i="8"/>
  <c r="K12" i="18"/>
  <c r="M8" i="18"/>
  <c r="I11" i="18"/>
  <c r="H11" i="18"/>
  <c r="K10" i="18"/>
  <c r="J10" i="18"/>
  <c r="B14" i="18"/>
  <c r="C14" i="18"/>
  <c r="H10" i="18"/>
  <c r="I10" i="18"/>
  <c r="E13" i="18"/>
  <c r="F13" i="18"/>
  <c r="H8" i="18"/>
  <c r="G12" i="18"/>
  <c r="L14" i="18"/>
  <c r="L8" i="18"/>
  <c r="D12" i="18"/>
  <c r="C11" i="18"/>
  <c r="L8" i="7"/>
  <c r="B23" i="7"/>
  <c r="F21" i="7"/>
  <c r="B21" i="7"/>
  <c r="D38" i="7" s="1"/>
  <c r="F19" i="7"/>
  <c r="G19" i="7"/>
  <c r="D32" i="7"/>
  <c r="C19" i="7"/>
  <c r="J13" i="18"/>
  <c r="M10" i="18"/>
  <c r="I13" i="18"/>
  <c r="J12" i="18"/>
  <c r="K11" i="18"/>
  <c r="F14" i="18"/>
  <c r="H9" i="18"/>
  <c r="K7" i="18"/>
  <c r="L9" i="18"/>
  <c r="J8" i="18"/>
  <c r="C25" i="8"/>
  <c r="L25" i="8"/>
  <c r="D10" i="7"/>
  <c r="I8" i="7"/>
  <c r="D8" i="7"/>
  <c r="D90" i="8"/>
  <c r="D84" i="8"/>
  <c r="H90" i="8"/>
  <c r="J90" i="8"/>
  <c r="J84" i="8"/>
  <c r="C91" i="8"/>
  <c r="C84" i="8" s="1"/>
  <c r="E91" i="8"/>
  <c r="E84" i="8" s="1"/>
  <c r="I91" i="8"/>
  <c r="I84" i="8"/>
  <c r="L91" i="8"/>
  <c r="L84" i="8" s="1"/>
  <c r="L27" i="2" a="1"/>
  <c r="L27" i="2" s="1"/>
  <c r="M21" i="7"/>
  <c r="K21" i="7"/>
  <c r="C23" i="7"/>
  <c r="G23" i="7"/>
  <c r="E23" i="7"/>
  <c r="I21" i="7"/>
  <c r="G21" i="7"/>
  <c r="D39" i="7" s="1"/>
  <c r="E21" i="7"/>
  <c r="C21" i="7"/>
  <c r="J19" i="7"/>
  <c r="H19" i="7"/>
  <c r="M23" i="8"/>
  <c r="C24" i="8"/>
  <c r="D22" i="8"/>
  <c r="G23" i="8"/>
  <c r="C23" i="8"/>
  <c r="J23" i="8"/>
  <c r="J22" i="8"/>
  <c r="K25" i="8"/>
  <c r="K23" i="8"/>
  <c r="I22" i="8"/>
  <c r="D24" i="8"/>
  <c r="B23" i="8"/>
  <c r="K8" i="7"/>
  <c r="M10" i="7"/>
  <c r="L10" i="7"/>
  <c r="K10" i="7"/>
  <c r="D12" i="7"/>
  <c r="C12" i="7"/>
  <c r="G12" i="7"/>
  <c r="F12" i="7"/>
  <c r="E12" i="7"/>
  <c r="I10" i="7"/>
  <c r="F10" i="7"/>
  <c r="B10" i="7"/>
  <c r="J8" i="7"/>
  <c r="H8" i="7"/>
  <c r="F8" i="7"/>
  <c r="L24" i="8"/>
  <c r="E25" i="8"/>
  <c r="D23" i="8"/>
  <c r="C22" i="8"/>
  <c r="G24" i="8"/>
  <c r="K24" i="8"/>
  <c r="H23" i="8"/>
  <c r="K22" i="8"/>
  <c r="J24" i="8"/>
  <c r="H25" i="8"/>
  <c r="H22" i="8"/>
  <c r="B25" i="8"/>
  <c r="G25" i="8"/>
  <c r="F24" i="8"/>
  <c r="E24" i="8"/>
  <c r="I25" i="8"/>
  <c r="D25" i="8"/>
  <c r="I23" i="8"/>
  <c r="B24" i="8"/>
  <c r="J25" i="8"/>
  <c r="M24" i="8"/>
  <c r="L23" i="8"/>
  <c r="M22" i="8"/>
  <c r="M25" i="8"/>
  <c r="E23" i="8"/>
  <c r="E22" i="8"/>
  <c r="E14" i="8"/>
  <c r="D14" i="8"/>
  <c r="M11" i="8"/>
  <c r="L12" i="8"/>
  <c r="G12" i="8"/>
  <c r="H11" i="8"/>
  <c r="I12" i="8"/>
  <c r="C13" i="8"/>
  <c r="F12" i="8"/>
  <c r="B12" i="8"/>
  <c r="I13" i="8"/>
  <c r="G11" i="8"/>
  <c r="M12" i="8"/>
  <c r="I19" i="7"/>
  <c r="D33" i="7" s="1"/>
  <c r="D21" i="7"/>
  <c r="L21" i="7"/>
  <c r="L19" i="7"/>
  <c r="L28" i="2"/>
  <c r="M27" i="2"/>
  <c r="H14" i="8"/>
  <c r="C14" i="8"/>
  <c r="D11" i="8"/>
  <c r="E13" i="8"/>
  <c r="E12" i="8"/>
  <c r="B13" i="8"/>
  <c r="E11" i="8"/>
  <c r="M14" i="8"/>
  <c r="K13" i="8"/>
  <c r="J12" i="8"/>
  <c r="L14" i="8"/>
  <c r="I14" i="8"/>
  <c r="F14" i="8"/>
  <c r="K12" i="8"/>
  <c r="G14" i="8"/>
  <c r="B14" i="8"/>
  <c r="H13" i="8"/>
  <c r="D13" i="8"/>
  <c r="J11" i="8"/>
  <c r="K11" i="8"/>
  <c r="B11" i="8"/>
  <c r="G13" i="8"/>
  <c r="I11" i="8"/>
  <c r="L13" i="8"/>
  <c r="F11" i="8"/>
  <c r="M13" i="8"/>
  <c r="L11" i="8"/>
  <c r="D12" i="8"/>
  <c r="J14" i="8"/>
  <c r="K14" i="8"/>
  <c r="H12" i="8"/>
  <c r="C12" i="8"/>
  <c r="G14" i="18"/>
  <c r="K13" i="18"/>
  <c r="D11" i="18"/>
  <c r="H7" i="18"/>
  <c r="C12" i="18"/>
  <c r="M13" i="18"/>
  <c r="E11" i="18"/>
  <c r="I8" i="18"/>
  <c r="J9" i="18"/>
  <c r="D13" i="18"/>
  <c r="J7" i="18"/>
  <c r="H13" i="18"/>
  <c r="I12" i="18"/>
  <c r="M7" i="18"/>
  <c r="H14" i="18"/>
  <c r="B11" i="18"/>
  <c r="I7" i="18"/>
  <c r="M12" i="18"/>
  <c r="L13" i="18"/>
  <c r="B13" i="18"/>
  <c r="C13" i="18"/>
  <c r="G8" i="18"/>
  <c r="J14" i="18"/>
  <c r="G13" i="18"/>
  <c r="F12" i="18"/>
  <c r="K8" i="18"/>
  <c r="M11" i="18"/>
  <c r="I14" i="18"/>
  <c r="L10" i="18"/>
  <c r="K14" i="18"/>
  <c r="G9" i="18"/>
  <c r="H12" i="18"/>
  <c r="L7" i="18"/>
  <c r="L12" i="18"/>
  <c r="J11" i="18"/>
  <c r="L11" i="18"/>
  <c r="F8" i="18"/>
  <c r="I9" i="18"/>
  <c r="E12" i="18"/>
  <c r="M14" i="18"/>
  <c r="F10" i="18"/>
  <c r="D14" i="18"/>
  <c r="B12" i="18"/>
  <c r="G7" i="18"/>
  <c r="G10" i="18"/>
  <c r="F9" i="18"/>
  <c r="H24" i="2"/>
  <c r="D18" i="2"/>
  <c r="H25" i="2"/>
  <c r="C20" i="2"/>
  <c r="E22" i="2"/>
  <c r="L23" i="2"/>
  <c r="B22" i="7"/>
  <c r="L20" i="7"/>
  <c r="K20" i="7"/>
  <c r="M22" i="7"/>
  <c r="D25" i="7"/>
  <c r="I22" i="7"/>
  <c r="F24" i="7"/>
  <c r="B20" i="7"/>
  <c r="H25" i="7"/>
  <c r="D22" i="7"/>
  <c r="D18" i="7"/>
  <c r="K22" i="7"/>
  <c r="C18" i="7"/>
  <c r="I23" i="7"/>
  <c r="E20" i="7"/>
  <c r="F18" i="7"/>
  <c r="C25" i="7"/>
  <c r="M23" i="7"/>
  <c r="L25" i="7"/>
  <c r="E25" i="7"/>
  <c r="J23" i="7"/>
  <c r="I20" i="7"/>
  <c r="C20" i="7"/>
  <c r="L18" i="7"/>
  <c r="J25" i="7"/>
  <c r="F20" i="7"/>
  <c r="G20" i="18"/>
  <c r="K19" i="18"/>
  <c r="G23" i="18"/>
  <c r="I23" i="18"/>
  <c r="B22" i="18"/>
  <c r="L24" i="18"/>
  <c r="K18" i="18"/>
  <c r="E23" i="18"/>
  <c r="D25" i="18"/>
  <c r="L25" i="18"/>
  <c r="G21" i="18"/>
  <c r="L18" i="18"/>
  <c r="H22" i="18"/>
  <c r="E25" i="18"/>
  <c r="F21" i="18"/>
  <c r="J18" i="18"/>
  <c r="B24" i="18"/>
  <c r="F20" i="18"/>
  <c r="I18" i="18"/>
  <c r="M19" i="18"/>
  <c r="K24" i="18"/>
  <c r="K20" i="18"/>
  <c r="M24" i="18"/>
  <c r="D23" i="18"/>
  <c r="H20" i="18"/>
  <c r="F18" i="18"/>
  <c r="D41" i="7"/>
  <c r="D38" i="8" l="1"/>
  <c r="D59" i="8" s="1"/>
  <c r="B40" i="8"/>
  <c r="B61" i="8" s="1"/>
  <c r="D40" i="7"/>
  <c r="F39" i="8"/>
  <c r="F60" i="8" s="1"/>
  <c r="B48" i="18"/>
  <c r="K20" i="2"/>
  <c r="I18" i="2"/>
  <c r="F19" i="2"/>
  <c r="C23" i="2"/>
  <c r="D22" i="2"/>
  <c r="B18" i="2"/>
  <c r="H22" i="2"/>
  <c r="D19" i="2"/>
  <c r="D21" i="2"/>
  <c r="L22" i="2"/>
  <c r="E24" i="2"/>
  <c r="F21" i="2"/>
  <c r="H21" i="2"/>
  <c r="I24" i="2"/>
  <c r="M19" i="2"/>
  <c r="K23" i="2"/>
  <c r="E20" i="2"/>
  <c r="B19" i="2"/>
  <c r="G19" i="2"/>
  <c r="I23" i="2"/>
  <c r="G21" i="2"/>
  <c r="K19" i="2"/>
  <c r="J18" i="2"/>
  <c r="J24" i="2"/>
  <c r="B23" i="2"/>
  <c r="M24" i="2"/>
  <c r="E19" i="2"/>
  <c r="L21" i="2"/>
  <c r="B22" i="2"/>
  <c r="J20" i="2"/>
  <c r="I22" i="2"/>
  <c r="C25" i="2"/>
  <c r="D24" i="2"/>
  <c r="E21" i="2"/>
  <c r="C22" i="2"/>
  <c r="I25" i="2"/>
  <c r="F18" i="2"/>
  <c r="D20" i="2"/>
  <c r="K18" i="2"/>
  <c r="C19" i="2"/>
  <c r="J25" i="2"/>
  <c r="B21" i="2"/>
  <c r="K22" i="2"/>
  <c r="G20" i="2"/>
  <c r="E25" i="2"/>
  <c r="F22" i="2"/>
  <c r="F20" i="2"/>
  <c r="F24" i="2"/>
  <c r="H23" i="2"/>
  <c r="K24" i="2"/>
  <c r="K25" i="2"/>
  <c r="J19" i="2"/>
  <c r="D23" i="2"/>
  <c r="C18" i="2"/>
  <c r="M18" i="2"/>
  <c r="G23" i="2"/>
  <c r="I19" i="2"/>
  <c r="J23" i="2"/>
  <c r="G18" i="2"/>
  <c r="M21" i="2"/>
  <c r="K21" i="2"/>
  <c r="C21" i="2"/>
  <c r="G24" i="2"/>
  <c r="H20" i="2"/>
  <c r="B24" i="2"/>
  <c r="D25" i="2"/>
  <c r="C24" i="2"/>
  <c r="F25" i="2"/>
  <c r="I20" i="2"/>
  <c r="I39" i="8"/>
  <c r="I60" i="8" s="1"/>
  <c r="C41" i="7"/>
  <c r="E41" i="7" s="1"/>
  <c r="M20" i="2"/>
  <c r="M25" i="2"/>
  <c r="M23" i="2"/>
  <c r="C39" i="8"/>
  <c r="C60" i="8" s="1"/>
  <c r="C34" i="7"/>
  <c r="E34" i="7" s="1"/>
  <c r="C33" i="7"/>
  <c r="E33" i="7" s="1"/>
  <c r="M36" i="18"/>
  <c r="C31" i="7"/>
  <c r="E31" i="7" s="1"/>
  <c r="E35" i="7" s="1"/>
  <c r="I33" i="7" s="1"/>
  <c r="H40" i="7" s="1" a="1"/>
  <c r="L25" i="2"/>
  <c r="L18" i="2"/>
  <c r="C38" i="8"/>
  <c r="C59" i="8" s="1"/>
  <c r="H37" i="8"/>
  <c r="H58" i="8" s="1"/>
  <c r="E18" i="2"/>
  <c r="M28" i="8"/>
  <c r="M29" i="8"/>
  <c r="J43" i="8" s="1"/>
  <c r="J64" i="8" s="1"/>
  <c r="L28" i="8"/>
  <c r="E39" i="8" s="1"/>
  <c r="E60" i="8" s="1"/>
  <c r="L29" i="8"/>
  <c r="J21" i="2"/>
  <c r="E23" i="2"/>
  <c r="G38" i="8"/>
  <c r="G59" i="8" s="1"/>
  <c r="E32" i="7"/>
  <c r="G25" i="2"/>
  <c r="M22" i="2"/>
  <c r="H19" i="2"/>
  <c r="B25" i="2"/>
  <c r="C32" i="7"/>
  <c r="B20" i="2"/>
  <c r="H18" i="2"/>
  <c r="L19" i="2"/>
  <c r="C39" i="18"/>
  <c r="J22" i="2"/>
  <c r="G22" i="2"/>
  <c r="F23" i="2"/>
  <c r="B33" i="8"/>
  <c r="B54" i="8" s="1"/>
  <c r="J9" i="2"/>
  <c r="L9" i="2"/>
  <c r="H91" i="8"/>
  <c r="H84" i="8" s="1"/>
  <c r="G90" i="8"/>
  <c r="E12" i="2"/>
  <c r="I11" i="2"/>
  <c r="G10" i="2"/>
  <c r="L14" i="2"/>
  <c r="E10" i="2"/>
  <c r="D7" i="2"/>
  <c r="J11" i="2"/>
  <c r="I12" i="2"/>
  <c r="B9" i="2"/>
  <c r="L7" i="2"/>
  <c r="F8" i="2"/>
  <c r="B12" i="2"/>
  <c r="L10" i="2"/>
  <c r="C9" i="2"/>
  <c r="F7" i="2"/>
  <c r="M8" i="2"/>
  <c r="G11" i="2"/>
  <c r="G12" i="2"/>
  <c r="B36" i="8"/>
  <c r="B57" i="8" s="1"/>
  <c r="M12" i="2"/>
  <c r="G7" i="2"/>
  <c r="E9" i="2"/>
  <c r="C36" i="8"/>
  <c r="C57" i="8" s="1"/>
  <c r="D36" i="8"/>
  <c r="D57" i="8" s="1"/>
  <c r="E36" i="8"/>
  <c r="E57" i="8" s="1"/>
  <c r="F36" i="8"/>
  <c r="F57" i="8" s="1"/>
  <c r="G36" i="8"/>
  <c r="G57" i="8" s="1"/>
  <c r="H36" i="8"/>
  <c r="H57" i="8" s="1"/>
  <c r="I36" i="8"/>
  <c r="I57" i="8" s="1"/>
  <c r="J36" i="8"/>
  <c r="J57" i="8" s="1"/>
  <c r="K36" i="8"/>
  <c r="K57" i="8" s="1"/>
  <c r="L36" i="8"/>
  <c r="L57" i="8" s="1"/>
  <c r="K14" i="7"/>
  <c r="E14" i="2"/>
  <c r="F10" i="2"/>
  <c r="B8" i="2"/>
  <c r="K11" i="2"/>
  <c r="I8" i="2"/>
  <c r="I13" i="7"/>
  <c r="I7" i="7"/>
  <c r="K8" i="2"/>
  <c r="I14" i="2"/>
  <c r="G7" i="7"/>
  <c r="M28" i="2"/>
  <c r="M9" i="2"/>
  <c r="J7" i="2"/>
  <c r="J8" i="2"/>
  <c r="C13" i="2"/>
  <c r="I9" i="2"/>
  <c r="K12" i="2"/>
  <c r="M13" i="2"/>
  <c r="J7" i="7"/>
  <c r="H7" i="7"/>
  <c r="J11" i="7"/>
  <c r="B14" i="7"/>
  <c r="L12" i="7"/>
  <c r="G10" i="7"/>
  <c r="K12" i="7"/>
  <c r="E13" i="7"/>
  <c r="M13" i="7"/>
  <c r="E10" i="7"/>
  <c r="L9" i="7"/>
  <c r="M12" i="7"/>
  <c r="L11" i="2"/>
  <c r="E13" i="2"/>
  <c r="F9" i="2"/>
  <c r="C14" i="2"/>
  <c r="I10" i="2"/>
  <c r="J9" i="7"/>
  <c r="G14" i="7"/>
  <c r="G14" i="2"/>
  <c r="D9" i="7"/>
  <c r="G24" i="7"/>
  <c r="K25" i="7"/>
  <c r="F23" i="7"/>
  <c r="G22" i="7"/>
  <c r="F25" i="7"/>
  <c r="J24" i="7"/>
  <c r="E36" i="18"/>
  <c r="B12" i="7"/>
  <c r="K91" i="8"/>
  <c r="K84" i="8" s="1"/>
  <c r="F90" i="8"/>
  <c r="J21" i="7"/>
  <c r="C10" i="7"/>
  <c r="G18" i="7"/>
  <c r="J20" i="7"/>
  <c r="H14" i="7"/>
  <c r="J10" i="7"/>
  <c r="J22" i="7"/>
  <c r="K24" i="7"/>
  <c r="M25" i="7"/>
  <c r="I13" i="2"/>
  <c r="B10" i="2"/>
  <c r="D9" i="2"/>
  <c r="D14" i="2"/>
  <c r="F13" i="7"/>
  <c r="E8" i="2"/>
  <c r="L11" i="7"/>
  <c r="C90" i="8"/>
  <c r="C33" i="8"/>
  <c r="C54" i="8" s="1"/>
  <c r="D33" i="8"/>
  <c r="D54" i="8" s="1"/>
  <c r="E33" i="8"/>
  <c r="E54" i="8" s="1"/>
  <c r="F33" i="8"/>
  <c r="F54" i="8" s="1"/>
  <c r="G33" i="8"/>
  <c r="G54" i="8" s="1"/>
  <c r="H33" i="8"/>
  <c r="H54" i="8" s="1"/>
  <c r="I33" i="8"/>
  <c r="I54" i="8" s="1"/>
  <c r="J33" i="8"/>
  <c r="J54" i="8" s="1"/>
  <c r="K33" i="8"/>
  <c r="K54" i="8" s="1"/>
  <c r="L33" i="8"/>
  <c r="L54" i="8" s="1"/>
  <c r="M9" i="8"/>
  <c r="D10" i="18"/>
  <c r="C21" i="18"/>
  <c r="M29" i="18"/>
  <c r="H50" i="18" s="1"/>
  <c r="E20" i="18"/>
  <c r="E35" i="18" s="1"/>
  <c r="C10" i="18"/>
  <c r="B18" i="18"/>
  <c r="E14" i="18"/>
  <c r="H21" i="18"/>
  <c r="K25" i="18"/>
  <c r="I20" i="18"/>
  <c r="I35" i="18" s="1"/>
  <c r="M21" i="18"/>
  <c r="F25" i="8"/>
  <c r="M21" i="8"/>
  <c r="M36" i="8" s="1"/>
  <c r="M57" i="8" s="1"/>
  <c r="M18" i="8"/>
  <c r="M33" i="8" s="1"/>
  <c r="M54" i="8" s="1"/>
  <c r="D9" i="18"/>
  <c r="C20" i="18"/>
  <c r="C35" i="18" s="1"/>
  <c r="B21" i="18"/>
  <c r="B36" i="18" s="1"/>
  <c r="M28" i="18"/>
  <c r="G43" i="18" s="1"/>
  <c r="E8" i="18"/>
  <c r="D19" i="18"/>
  <c r="B8" i="8"/>
  <c r="D8" i="18"/>
  <c r="C19" i="18"/>
  <c r="B20" i="18"/>
  <c r="E18" i="18"/>
  <c r="E43" i="18" s="1"/>
  <c r="C8" i="18"/>
  <c r="B9" i="18"/>
  <c r="B7" i="18"/>
  <c r="C22" i="18"/>
  <c r="C37" i="18" s="1"/>
  <c r="I24" i="18"/>
  <c r="B23" i="18"/>
  <c r="J24" i="18"/>
  <c r="F24" i="18"/>
  <c r="B25" i="18"/>
  <c r="C20" i="8"/>
  <c r="D20" i="8"/>
  <c r="E20" i="8"/>
  <c r="F20" i="8"/>
  <c r="G20" i="8"/>
  <c r="H20" i="8"/>
  <c r="I20" i="8"/>
  <c r="J20" i="8"/>
  <c r="K20" i="8"/>
  <c r="L20" i="8"/>
  <c r="D7" i="18"/>
  <c r="C18" i="18"/>
  <c r="B19" i="18"/>
  <c r="C9" i="8"/>
  <c r="D9" i="8"/>
  <c r="E9" i="8"/>
  <c r="F9" i="8"/>
  <c r="G9" i="8"/>
  <c r="H9" i="8"/>
  <c r="I9" i="8"/>
  <c r="J9" i="8"/>
  <c r="K9" i="8"/>
  <c r="L9" i="8"/>
  <c r="B9" i="8"/>
  <c r="E21" i="18"/>
  <c r="C7" i="18"/>
  <c r="L29" i="18"/>
  <c r="G33" i="18" s="1"/>
  <c r="G53" i="18" s="1"/>
  <c r="B8" i="18"/>
  <c r="M86" i="8" l="1"/>
  <c r="M85" i="8"/>
  <c r="J75" i="8"/>
  <c r="J95" i="8"/>
  <c r="J96" i="8"/>
  <c r="B66" i="18"/>
  <c r="C66" i="18"/>
  <c r="H41" i="7"/>
  <c r="H40" i="7"/>
  <c r="I40" i="7"/>
  <c r="I41" i="7"/>
  <c r="I55" i="18"/>
  <c r="C48" i="8"/>
  <c r="C69" i="8" s="1"/>
  <c r="C80" i="8" s="1"/>
  <c r="M46" i="8"/>
  <c r="M67" i="8" s="1"/>
  <c r="M78" i="8" s="1"/>
  <c r="B52" i="21" s="1"/>
  <c r="M44" i="8"/>
  <c r="M65" i="8" s="1"/>
  <c r="M76" i="8" s="1"/>
  <c r="B50" i="21" s="1"/>
  <c r="L44" i="8"/>
  <c r="L65" i="8" s="1"/>
  <c r="L76" i="8" s="1"/>
  <c r="B46" i="21" s="1"/>
  <c r="K44" i="8"/>
  <c r="K65" i="8" s="1"/>
  <c r="K76" i="8" s="1"/>
  <c r="B42" i="21" s="1"/>
  <c r="J44" i="8"/>
  <c r="J65" i="8" s="1"/>
  <c r="J76" i="8" s="1"/>
  <c r="B38" i="21" s="1"/>
  <c r="I44" i="8"/>
  <c r="I65" i="8" s="1"/>
  <c r="I76" i="8" s="1"/>
  <c r="B34" i="21" s="1"/>
  <c r="H44" i="8"/>
  <c r="H65" i="8" s="1"/>
  <c r="H76" i="8" s="1"/>
  <c r="B30" i="21" s="1"/>
  <c r="G44" i="8"/>
  <c r="G65" i="8" s="1"/>
  <c r="G76" i="8" s="1"/>
  <c r="B26" i="21" s="1"/>
  <c r="F44" i="8"/>
  <c r="F65" i="8" s="1"/>
  <c r="F76" i="8" s="1"/>
  <c r="B22" i="21" s="1"/>
  <c r="E44" i="8"/>
  <c r="E65" i="8" s="1"/>
  <c r="E76" i="8" s="1"/>
  <c r="B18" i="21" s="1"/>
  <c r="D44" i="8"/>
  <c r="D65" i="8" s="1"/>
  <c r="D76" i="8" s="1"/>
  <c r="B14" i="21" s="1"/>
  <c r="C44" i="8"/>
  <c r="C65" i="8" s="1"/>
  <c r="C76" i="8" s="1"/>
  <c r="B10" i="21" s="1"/>
  <c r="C47" i="8"/>
  <c r="C68" i="8" s="1"/>
  <c r="C79" i="8" s="1"/>
  <c r="K49" i="8"/>
  <c r="K70" i="8" s="1"/>
  <c r="K81" i="8" s="1"/>
  <c r="J49" i="8"/>
  <c r="J70" i="8" s="1"/>
  <c r="J81" i="8" s="1"/>
  <c r="J48" i="8"/>
  <c r="J69" i="8" s="1"/>
  <c r="J80" i="8" s="1"/>
  <c r="G47" i="8"/>
  <c r="G68" i="8" s="1"/>
  <c r="G79" i="8" s="1"/>
  <c r="I47" i="8"/>
  <c r="I68" i="8" s="1"/>
  <c r="I79" i="8" s="1"/>
  <c r="K50" i="8"/>
  <c r="K71" i="8" s="1"/>
  <c r="K82" i="8" s="1"/>
  <c r="I48" i="8"/>
  <c r="I69" i="8" s="1"/>
  <c r="I80" i="8" s="1"/>
  <c r="F50" i="8"/>
  <c r="F71" i="8" s="1"/>
  <c r="F82" i="8" s="1"/>
  <c r="F48" i="8"/>
  <c r="F69" i="8" s="1"/>
  <c r="F80" i="8" s="1"/>
  <c r="L47" i="8"/>
  <c r="L68" i="8" s="1"/>
  <c r="L79" i="8" s="1"/>
  <c r="D47" i="8"/>
  <c r="D68" i="8" s="1"/>
  <c r="D79" i="8" s="1"/>
  <c r="D50" i="8"/>
  <c r="D71" i="8" s="1"/>
  <c r="D82" i="8" s="1"/>
  <c r="H49" i="8"/>
  <c r="H70" i="8" s="1"/>
  <c r="H81" i="8" s="1"/>
  <c r="H47" i="8"/>
  <c r="H68" i="8" s="1"/>
  <c r="H79" i="8" s="1"/>
  <c r="K48" i="8"/>
  <c r="K69" i="8" s="1"/>
  <c r="K80" i="8" s="1"/>
  <c r="E47" i="8"/>
  <c r="E68" i="8" s="1"/>
  <c r="E79" i="8" s="1"/>
  <c r="B47" i="8"/>
  <c r="B68" i="8" s="1"/>
  <c r="B79" i="8" s="1"/>
  <c r="K47" i="8"/>
  <c r="K68" i="8" s="1"/>
  <c r="K79" i="8" s="1"/>
  <c r="C50" i="8"/>
  <c r="C71" i="8" s="1"/>
  <c r="C82" i="8" s="1"/>
  <c r="L48" i="8"/>
  <c r="L69" i="8" s="1"/>
  <c r="L80" i="8" s="1"/>
  <c r="H48" i="8"/>
  <c r="H69" i="8" s="1"/>
  <c r="H80" i="8" s="1"/>
  <c r="L50" i="8"/>
  <c r="L71" i="8" s="1"/>
  <c r="L82" i="8" s="1"/>
  <c r="M48" i="8"/>
  <c r="M69" i="8" s="1"/>
  <c r="M80" i="8" s="1"/>
  <c r="M49" i="8"/>
  <c r="M70" i="8" s="1"/>
  <c r="M81" i="8" s="1"/>
  <c r="H50" i="8"/>
  <c r="H71" i="8" s="1"/>
  <c r="H82" i="8" s="1"/>
  <c r="G48" i="8"/>
  <c r="G69" i="8" s="1"/>
  <c r="G80" i="8" s="1"/>
  <c r="G50" i="8"/>
  <c r="G71" i="8" s="1"/>
  <c r="G82" i="8" s="1"/>
  <c r="E50" i="8"/>
  <c r="E71" i="8" s="1"/>
  <c r="E82" i="8" s="1"/>
  <c r="B49" i="8"/>
  <c r="B70" i="8" s="1"/>
  <c r="B81" i="8" s="1"/>
  <c r="C49" i="8"/>
  <c r="C70" i="8" s="1"/>
  <c r="C81" i="8" s="1"/>
  <c r="J50" i="8"/>
  <c r="J71" i="8" s="1"/>
  <c r="J82" i="8" s="1"/>
  <c r="F47" i="8"/>
  <c r="F68" i="8" s="1"/>
  <c r="F79" i="8" s="1"/>
  <c r="E48" i="8"/>
  <c r="E69" i="8" s="1"/>
  <c r="E80" i="8" s="1"/>
  <c r="J47" i="8"/>
  <c r="J68" i="8" s="1"/>
  <c r="J79" i="8" s="1"/>
  <c r="M47" i="8"/>
  <c r="M68" i="8" s="1"/>
  <c r="M79" i="8" s="1"/>
  <c r="I50" i="8"/>
  <c r="I71" i="8" s="1"/>
  <c r="I82" i="8" s="1"/>
  <c r="B37" i="18"/>
  <c r="D48" i="8"/>
  <c r="D69" i="8" s="1"/>
  <c r="D80" i="8" s="1"/>
  <c r="B48" i="8"/>
  <c r="B69" i="8" s="1"/>
  <c r="B80" i="8" s="1"/>
  <c r="H43" i="18"/>
  <c r="H33" i="18"/>
  <c r="H53" i="18" s="1"/>
  <c r="H34" i="18"/>
  <c r="C46" i="18"/>
  <c r="C36" i="18"/>
  <c r="C56" i="18" s="1"/>
  <c r="B43" i="18"/>
  <c r="B33" i="18"/>
  <c r="B34" i="18"/>
  <c r="B54" i="18" s="1"/>
  <c r="B44" i="18"/>
  <c r="E35" i="8"/>
  <c r="E56" i="8" s="1"/>
  <c r="E45" i="8"/>
  <c r="E66" i="8" s="1"/>
  <c r="E77" i="8" s="1"/>
  <c r="B19" i="21" s="1"/>
  <c r="C34" i="18"/>
  <c r="C44" i="18"/>
  <c r="I43" i="8"/>
  <c r="I64" i="8" s="1"/>
  <c r="C43" i="8"/>
  <c r="C64" i="8" s="1"/>
  <c r="G46" i="8"/>
  <c r="G67" i="8" s="1"/>
  <c r="G78" i="8" s="1"/>
  <c r="B28" i="21" s="1"/>
  <c r="I50" i="18"/>
  <c r="K35" i="18"/>
  <c r="L49" i="8"/>
  <c r="L70" i="8" s="1"/>
  <c r="L81" i="8" s="1"/>
  <c r="I34" i="18"/>
  <c r="I54" i="18" s="1"/>
  <c r="D86" i="8"/>
  <c r="D85" i="8"/>
  <c r="E35" i="2"/>
  <c r="E36" i="2"/>
  <c r="I38" i="18"/>
  <c r="I44" i="18"/>
  <c r="D43" i="8"/>
  <c r="D64" i="8" s="1"/>
  <c r="C85" i="8"/>
  <c r="C86" i="8"/>
  <c r="K76" i="7"/>
  <c r="K77" i="7"/>
  <c r="B46" i="8"/>
  <c r="B67" i="8" s="1"/>
  <c r="B78" i="8" s="1"/>
  <c r="B8" i="21" s="1"/>
  <c r="C43" i="18"/>
  <c r="C33" i="18"/>
  <c r="C35" i="8"/>
  <c r="C56" i="8" s="1"/>
  <c r="C45" i="8"/>
  <c r="C66" i="8" s="1"/>
  <c r="C77" i="8" s="1"/>
  <c r="B11" i="21" s="1"/>
  <c r="M45" i="8"/>
  <c r="M66" i="8" s="1"/>
  <c r="M77" i="8" s="1"/>
  <c r="B51" i="21" s="1"/>
  <c r="M35" i="8"/>
  <c r="M56" i="8" s="1"/>
  <c r="H43" i="8"/>
  <c r="H64" i="8" s="1"/>
  <c r="L46" i="8"/>
  <c r="L67" i="8" s="1"/>
  <c r="L78" i="8" s="1"/>
  <c r="B48" i="21" s="1"/>
  <c r="F46" i="8"/>
  <c r="F67" i="8" s="1"/>
  <c r="F78" i="8" s="1"/>
  <c r="B24" i="21" s="1"/>
  <c r="B85" i="8"/>
  <c r="B86" i="8"/>
  <c r="M50" i="8"/>
  <c r="M71" i="8" s="1"/>
  <c r="M82" i="8" s="1"/>
  <c r="D35" i="2"/>
  <c r="D37" i="2" s="1"/>
  <c r="D36" i="2"/>
  <c r="F38" i="18"/>
  <c r="B39" i="18"/>
  <c r="B59" i="18" s="1"/>
  <c r="F49" i="8"/>
  <c r="F70" i="8" s="1"/>
  <c r="F81" i="8" s="1"/>
  <c r="J86" i="8"/>
  <c r="J85" i="8"/>
  <c r="H40" i="18"/>
  <c r="H60" i="18" s="1"/>
  <c r="B49" i="18"/>
  <c r="K85" i="8"/>
  <c r="K86" i="8"/>
  <c r="H46" i="8"/>
  <c r="H67" i="8" s="1"/>
  <c r="H78" i="8" s="1"/>
  <c r="B32" i="21" s="1"/>
  <c r="B45" i="18"/>
  <c r="B35" i="18"/>
  <c r="B55" i="18" s="1"/>
  <c r="H35" i="2"/>
  <c r="H37" i="2" s="1"/>
  <c r="H36" i="2"/>
  <c r="B40" i="18"/>
  <c r="D49" i="8"/>
  <c r="D70" i="8" s="1"/>
  <c r="D81" i="8" s="1"/>
  <c r="D40" i="18"/>
  <c r="M50" i="18"/>
  <c r="L33" i="18"/>
  <c r="H48" i="18"/>
  <c r="D35" i="8"/>
  <c r="D56" i="8" s="1"/>
  <c r="D45" i="8"/>
  <c r="D66" i="8" s="1"/>
  <c r="D77" i="8" s="1"/>
  <c r="B15" i="21" s="1"/>
  <c r="E33" i="18"/>
  <c r="J50" i="18"/>
  <c r="D34" i="18"/>
  <c r="D54" i="18" s="1"/>
  <c r="D44" i="18"/>
  <c r="K40" i="18"/>
  <c r="D77" i="7"/>
  <c r="D76" i="7"/>
  <c r="D49" i="18"/>
  <c r="D38" i="18"/>
  <c r="H38" i="18"/>
  <c r="H58" i="18" s="1"/>
  <c r="G35" i="8"/>
  <c r="G56" i="8" s="1"/>
  <c r="G45" i="8"/>
  <c r="G66" i="8" s="1"/>
  <c r="G77" i="8" s="1"/>
  <c r="B27" i="21" s="1"/>
  <c r="F35" i="8"/>
  <c r="F56" i="8" s="1"/>
  <c r="F45" i="8"/>
  <c r="F66" i="8" s="1"/>
  <c r="F77" i="8" s="1"/>
  <c r="B23" i="21" s="1"/>
  <c r="E46" i="18"/>
  <c r="E56" i="18" s="1"/>
  <c r="H85" i="8"/>
  <c r="H86" i="8"/>
  <c r="B35" i="8"/>
  <c r="B56" i="8" s="1"/>
  <c r="B45" i="8"/>
  <c r="B66" i="8" s="1"/>
  <c r="B77" i="8" s="1"/>
  <c r="B7" i="21" s="1"/>
  <c r="K46" i="8"/>
  <c r="K67" i="8" s="1"/>
  <c r="K78" i="8" s="1"/>
  <c r="B44" i="21" s="1"/>
  <c r="D43" i="18"/>
  <c r="D33" i="18"/>
  <c r="M43" i="8"/>
  <c r="M64" i="8" s="1"/>
  <c r="I40" i="18"/>
  <c r="I60" i="18" s="1"/>
  <c r="K35" i="8"/>
  <c r="K56" i="8" s="1"/>
  <c r="K45" i="8"/>
  <c r="K66" i="8" s="1"/>
  <c r="K77" i="8" s="1"/>
  <c r="B43" i="21" s="1"/>
  <c r="J39" i="18"/>
  <c r="H36" i="18"/>
  <c r="L43" i="8"/>
  <c r="L64" i="8" s="1"/>
  <c r="F43" i="8"/>
  <c r="F64" i="8" s="1"/>
  <c r="J46" i="8"/>
  <c r="J67" i="8" s="1"/>
  <c r="J78" i="8" s="1"/>
  <c r="B40" i="21" s="1"/>
  <c r="D46" i="8"/>
  <c r="D67" i="8" s="1"/>
  <c r="D78" i="8" s="1"/>
  <c r="B16" i="21" s="1"/>
  <c r="L48" i="18"/>
  <c r="I48" i="18"/>
  <c r="G49" i="8"/>
  <c r="G70" i="8" s="1"/>
  <c r="G81" i="8" s="1"/>
  <c r="I49" i="8"/>
  <c r="I70" i="8" s="1"/>
  <c r="I81" i="8" s="1"/>
  <c r="G36" i="18"/>
  <c r="G56" i="18" s="1"/>
  <c r="H35" i="8"/>
  <c r="H56" i="8" s="1"/>
  <c r="H45" i="8"/>
  <c r="H66" i="8" s="1"/>
  <c r="H77" i="8" s="1"/>
  <c r="B31" i="21" s="1"/>
  <c r="D35" i="18"/>
  <c r="D45" i="18"/>
  <c r="H76" i="7"/>
  <c r="H77" i="7"/>
  <c r="K33" i="18"/>
  <c r="F37" i="18"/>
  <c r="J37" i="18"/>
  <c r="J57" i="18" s="1"/>
  <c r="M33" i="18"/>
  <c r="M53" i="18" s="1"/>
  <c r="D37" i="18"/>
  <c r="F35" i="18"/>
  <c r="G39" i="18"/>
  <c r="M35" i="18"/>
  <c r="H39" i="18"/>
  <c r="D39" i="18"/>
  <c r="K36" i="18"/>
  <c r="G37" i="18"/>
  <c r="G57" i="18" s="1"/>
  <c r="G34" i="18"/>
  <c r="G40" i="18"/>
  <c r="J36" i="18"/>
  <c r="L34" i="18"/>
  <c r="L54" i="18" s="1"/>
  <c r="H35" i="18"/>
  <c r="H55" i="18" s="1"/>
  <c r="H37" i="18"/>
  <c r="H57" i="18" s="1"/>
  <c r="G35" i="18"/>
  <c r="J33" i="18"/>
  <c r="E39" i="18"/>
  <c r="J34" i="18"/>
  <c r="L35" i="18"/>
  <c r="C40" i="18"/>
  <c r="M39" i="18"/>
  <c r="I36" i="18"/>
  <c r="L40" i="18"/>
  <c r="L60" i="18" s="1"/>
  <c r="F36" i="18"/>
  <c r="L36" i="18"/>
  <c r="J35" i="18"/>
  <c r="J55" i="18" s="1"/>
  <c r="I37" i="18"/>
  <c r="J40" i="18"/>
  <c r="M38" i="18"/>
  <c r="K37" i="18"/>
  <c r="M34" i="18"/>
  <c r="M54" i="18" s="1"/>
  <c r="E38" i="18"/>
  <c r="M37" i="18"/>
  <c r="L39" i="18"/>
  <c r="E37" i="18"/>
  <c r="G38" i="18"/>
  <c r="G58" i="18" s="1"/>
  <c r="L37" i="18"/>
  <c r="L57" i="18" s="1"/>
  <c r="I33" i="18"/>
  <c r="I53" i="18" s="1"/>
  <c r="K39" i="18"/>
  <c r="J38" i="18"/>
  <c r="F34" i="18"/>
  <c r="K34" i="18"/>
  <c r="C38" i="18"/>
  <c r="C58" i="18" s="1"/>
  <c r="F40" i="18"/>
  <c r="F60" i="18" s="1"/>
  <c r="K38" i="18"/>
  <c r="D46" i="18"/>
  <c r="D36" i="18"/>
  <c r="D56" i="18" s="1"/>
  <c r="B43" i="8"/>
  <c r="B64" i="8" s="1"/>
  <c r="E45" i="18"/>
  <c r="E55" i="18" s="1"/>
  <c r="L35" i="8"/>
  <c r="L56" i="8" s="1"/>
  <c r="L45" i="8"/>
  <c r="L66" i="8" s="1"/>
  <c r="L77" i="8" s="1"/>
  <c r="B47" i="21" s="1"/>
  <c r="F39" i="18"/>
  <c r="B44" i="8"/>
  <c r="B65" i="8" s="1"/>
  <c r="B76" i="8" s="1"/>
  <c r="B6" i="21" s="1"/>
  <c r="B34" i="8"/>
  <c r="B55" i="8" s="1"/>
  <c r="L85" i="8"/>
  <c r="L86" i="8"/>
  <c r="F76" i="7"/>
  <c r="C59" i="7" s="1"/>
  <c r="C39" i="7"/>
  <c r="E39" i="7" s="1"/>
  <c r="F77" i="7"/>
  <c r="D59" i="7" s="1"/>
  <c r="C40" i="7"/>
  <c r="E40" i="7" s="1"/>
  <c r="L38" i="18"/>
  <c r="L58" i="18" s="1"/>
  <c r="C38" i="7"/>
  <c r="E38" i="7" s="1"/>
  <c r="E42" i="7" s="1"/>
  <c r="I34" i="7" s="1"/>
  <c r="E49" i="8"/>
  <c r="E70" i="8" s="1"/>
  <c r="E81" i="8" s="1"/>
  <c r="E86" i="8"/>
  <c r="E85" i="8"/>
  <c r="C36" i="2"/>
  <c r="C35" i="2"/>
  <c r="I86" i="8"/>
  <c r="I85" i="8"/>
  <c r="G35" i="2"/>
  <c r="G36" i="2"/>
  <c r="G43" i="8"/>
  <c r="G64" i="8" s="1"/>
  <c r="E46" i="8"/>
  <c r="E67" i="8" s="1"/>
  <c r="E78" i="8" s="1"/>
  <c r="B20" i="21" s="1"/>
  <c r="G85" i="8"/>
  <c r="G86" i="8"/>
  <c r="J35" i="8"/>
  <c r="J56" i="8" s="1"/>
  <c r="J45" i="8"/>
  <c r="J66" i="8" s="1"/>
  <c r="J77" i="8" s="1"/>
  <c r="B39" i="21" s="1"/>
  <c r="B38" i="18"/>
  <c r="B58" i="18" s="1"/>
  <c r="E44" i="18"/>
  <c r="E34" i="18"/>
  <c r="E54" i="18" s="1"/>
  <c r="E50" i="18"/>
  <c r="E40" i="18"/>
  <c r="E60" i="18" s="1"/>
  <c r="F86" i="8"/>
  <c r="F85" i="8"/>
  <c r="I35" i="8"/>
  <c r="I56" i="8" s="1"/>
  <c r="I45" i="8"/>
  <c r="I66" i="8" s="1"/>
  <c r="I77" i="8" s="1"/>
  <c r="B35" i="21" s="1"/>
  <c r="I39" i="18"/>
  <c r="G48" i="18"/>
  <c r="F50" i="18"/>
  <c r="H44" i="18"/>
  <c r="D50" i="18"/>
  <c r="C45" i="18"/>
  <c r="C55" i="18" s="1"/>
  <c r="B46" i="18"/>
  <c r="B56" i="18" s="1"/>
  <c r="L44" i="18"/>
  <c r="J49" i="18"/>
  <c r="C47" i="18"/>
  <c r="C57" i="18" s="1"/>
  <c r="K48" i="18"/>
  <c r="G49" i="18"/>
  <c r="M44" i="18"/>
  <c r="F49" i="18"/>
  <c r="J47" i="18"/>
  <c r="M43" i="18"/>
  <c r="D47" i="18"/>
  <c r="I47" i="18"/>
  <c r="G46" i="18"/>
  <c r="K50" i="18"/>
  <c r="M46" i="18"/>
  <c r="M56" i="18" s="1"/>
  <c r="F47" i="18"/>
  <c r="I49" i="18"/>
  <c r="F45" i="18"/>
  <c r="G50" i="18"/>
  <c r="L50" i="18"/>
  <c r="J48" i="18"/>
  <c r="G47" i="18"/>
  <c r="L43" i="18"/>
  <c r="H49" i="18"/>
  <c r="F48" i="18"/>
  <c r="I46" i="18"/>
  <c r="J46" i="18"/>
  <c r="G44" i="18"/>
  <c r="M49" i="18"/>
  <c r="K43" i="18"/>
  <c r="G45" i="18"/>
  <c r="J43" i="18"/>
  <c r="H45" i="18"/>
  <c r="I45" i="18"/>
  <c r="B50" i="18"/>
  <c r="M45" i="18"/>
  <c r="E49" i="18"/>
  <c r="F46" i="18"/>
  <c r="L46" i="18"/>
  <c r="J45" i="18"/>
  <c r="K46" i="18"/>
  <c r="K47" i="18"/>
  <c r="L47" i="18"/>
  <c r="M48" i="18"/>
  <c r="F43" i="18"/>
  <c r="H47" i="18"/>
  <c r="K45" i="18"/>
  <c r="E48" i="18"/>
  <c r="M47" i="18"/>
  <c r="L49" i="18"/>
  <c r="E47" i="18"/>
  <c r="L45" i="18"/>
  <c r="H46" i="18"/>
  <c r="C50" i="18"/>
  <c r="F44" i="18"/>
  <c r="I43" i="18"/>
  <c r="K49" i="18"/>
  <c r="K44" i="18"/>
  <c r="B47" i="18"/>
  <c r="D48" i="18"/>
  <c r="C48" i="18"/>
  <c r="J44" i="18"/>
  <c r="K43" i="8"/>
  <c r="K64" i="8" s="1"/>
  <c r="E43" i="8"/>
  <c r="E64" i="8" s="1"/>
  <c r="I46" i="8"/>
  <c r="I67" i="8" s="1"/>
  <c r="I78" i="8" s="1"/>
  <c r="B36" i="21" s="1"/>
  <c r="C46" i="8"/>
  <c r="C67" i="8" s="1"/>
  <c r="C78" i="8" s="1"/>
  <c r="B12" i="21" s="1"/>
  <c r="F36" i="2"/>
  <c r="F35" i="2"/>
  <c r="C49" i="18"/>
  <c r="C59" i="18" s="1"/>
  <c r="K38" i="8"/>
  <c r="K59" i="8" s="1"/>
  <c r="C37" i="8"/>
  <c r="C58" i="8" s="1"/>
  <c r="G37" i="8"/>
  <c r="G58" i="8" s="1"/>
  <c r="M38" i="8"/>
  <c r="M59" i="8" s="1"/>
  <c r="M34" i="8"/>
  <c r="M55" i="8" s="1"/>
  <c r="E40" i="8"/>
  <c r="E61" i="8" s="1"/>
  <c r="L34" i="8"/>
  <c r="L55" i="8" s="1"/>
  <c r="K34" i="8"/>
  <c r="K55" i="8" s="1"/>
  <c r="J34" i="8"/>
  <c r="J55" i="8" s="1"/>
  <c r="D40" i="8"/>
  <c r="D61" i="8" s="1"/>
  <c r="G40" i="8"/>
  <c r="G61" i="8" s="1"/>
  <c r="F34" i="8"/>
  <c r="F55" i="8" s="1"/>
  <c r="B39" i="8"/>
  <c r="B60" i="8" s="1"/>
  <c r="J40" i="8"/>
  <c r="J61" i="8" s="1"/>
  <c r="E38" i="8"/>
  <c r="E59" i="8" s="1"/>
  <c r="I38" i="8"/>
  <c r="I59" i="8" s="1"/>
  <c r="J37" i="8"/>
  <c r="J58" i="8" s="1"/>
  <c r="G34" i="8"/>
  <c r="G55" i="8" s="1"/>
  <c r="L39" i="8"/>
  <c r="L60" i="8" s="1"/>
  <c r="K39" i="8"/>
  <c r="K60" i="8" s="1"/>
  <c r="M37" i="8"/>
  <c r="M58" i="8" s="1"/>
  <c r="K40" i="8"/>
  <c r="K61" i="8" s="1"/>
  <c r="J38" i="8"/>
  <c r="J59" i="8" s="1"/>
  <c r="I37" i="8"/>
  <c r="I58" i="8" s="1"/>
  <c r="H34" i="8"/>
  <c r="H55" i="8" s="1"/>
  <c r="F38" i="8"/>
  <c r="F59" i="8" s="1"/>
  <c r="G39" i="8"/>
  <c r="G60" i="8" s="1"/>
  <c r="H38" i="8"/>
  <c r="H59" i="8" s="1"/>
  <c r="F40" i="8"/>
  <c r="F61" i="8" s="1"/>
  <c r="J39" i="8"/>
  <c r="J60" i="8" s="1"/>
  <c r="L37" i="8"/>
  <c r="L58" i="8" s="1"/>
  <c r="D37" i="8"/>
  <c r="D58" i="8" s="1"/>
  <c r="I34" i="8"/>
  <c r="I55" i="8" s="1"/>
  <c r="C34" i="8"/>
  <c r="C55" i="8" s="1"/>
  <c r="H39" i="8"/>
  <c r="H60" i="8" s="1"/>
  <c r="M40" i="8"/>
  <c r="M61" i="8" s="1"/>
  <c r="F37" i="8"/>
  <c r="F58" i="8" s="1"/>
  <c r="E37" i="8"/>
  <c r="E58" i="8" s="1"/>
  <c r="D34" i="8"/>
  <c r="D55" i="8" s="1"/>
  <c r="K37" i="8"/>
  <c r="K58" i="8" s="1"/>
  <c r="B37" i="8"/>
  <c r="B58" i="8" s="1"/>
  <c r="L38" i="8"/>
  <c r="L59" i="8" s="1"/>
  <c r="C40" i="8"/>
  <c r="C61" i="8" s="1"/>
  <c r="L40" i="8"/>
  <c r="L61" i="8" s="1"/>
  <c r="E34" i="8"/>
  <c r="E55" i="8" s="1"/>
  <c r="M39" i="8"/>
  <c r="M60" i="8" s="1"/>
  <c r="H40" i="8"/>
  <c r="H61" i="8" s="1"/>
  <c r="I40" i="8"/>
  <c r="I61" i="8" s="1"/>
  <c r="D39" i="8"/>
  <c r="D60" i="8" s="1"/>
  <c r="B38" i="8"/>
  <c r="B59" i="8" s="1"/>
  <c r="M40" i="18"/>
  <c r="M60" i="18" s="1"/>
  <c r="B50" i="8"/>
  <c r="B71" i="8" s="1"/>
  <c r="B82" i="8" s="1"/>
  <c r="F33" i="18"/>
  <c r="F53" i="18" s="1"/>
  <c r="L56" i="18" l="1"/>
  <c r="D57" i="18"/>
  <c r="E53" i="18"/>
  <c r="E66" i="18"/>
  <c r="D66" i="18"/>
  <c r="F58" i="18"/>
  <c r="E37" i="2"/>
  <c r="E95" i="8"/>
  <c r="E110" i="8" s="1"/>
  <c r="E75" i="8"/>
  <c r="E96" i="8"/>
  <c r="E111" i="8" s="1"/>
  <c r="G75" i="8"/>
  <c r="G95" i="8"/>
  <c r="G110" i="8" s="1"/>
  <c r="G96" i="8"/>
  <c r="B95" i="8"/>
  <c r="B110" i="8" s="1"/>
  <c r="B75" i="8"/>
  <c r="B96" i="8"/>
  <c r="B111" i="8" s="1"/>
  <c r="F56" i="18"/>
  <c r="C53" i="18"/>
  <c r="D64" i="18"/>
  <c r="E64" i="18"/>
  <c r="C54" i="18"/>
  <c r="H54" i="18"/>
  <c r="E77" i="7"/>
  <c r="E75" i="7"/>
  <c r="M77" i="7"/>
  <c r="H81" i="7"/>
  <c r="C75" i="7"/>
  <c r="D54" i="7" s="1"/>
  <c r="F81" i="7"/>
  <c r="I75" i="7"/>
  <c r="D56" i="7" s="1"/>
  <c r="E56" i="7" s="1"/>
  <c r="K75" i="7"/>
  <c r="J77" i="7"/>
  <c r="G81" i="7"/>
  <c r="L75" i="7"/>
  <c r="D57" i="7" s="1"/>
  <c r="E57" i="7" s="1"/>
  <c r="N75" i="7"/>
  <c r="M75" i="7"/>
  <c r="C77" i="7"/>
  <c r="D58" i="7" s="1"/>
  <c r="F75" i="7"/>
  <c r="D55" i="7" s="1"/>
  <c r="D81" i="7"/>
  <c r="G75" i="7"/>
  <c r="H75" i="7"/>
  <c r="D75" i="7"/>
  <c r="L77" i="7"/>
  <c r="D61" i="7" s="1"/>
  <c r="N77" i="7"/>
  <c r="E81" i="7"/>
  <c r="J75" i="7"/>
  <c r="G77" i="7"/>
  <c r="I77" i="7"/>
  <c r="D60" i="7" s="1"/>
  <c r="F55" i="18"/>
  <c r="E57" i="18"/>
  <c r="J56" i="18"/>
  <c r="M75" i="8"/>
  <c r="M96" i="8"/>
  <c r="M111" i="8" s="1"/>
  <c r="M95" i="8"/>
  <c r="M110" i="8" s="1"/>
  <c r="B64" i="18"/>
  <c r="O64" i="18" s="1"/>
  <c r="C64" i="18"/>
  <c r="F80" i="7"/>
  <c r="G80" i="7"/>
  <c r="G82" i="7" s="1"/>
  <c r="H80" i="7"/>
  <c r="H82" i="7" s="1"/>
  <c r="N76" i="7"/>
  <c r="H74" i="7"/>
  <c r="J76" i="7"/>
  <c r="M76" i="7"/>
  <c r="E76" i="7"/>
  <c r="C76" i="7"/>
  <c r="C58" i="7" s="1"/>
  <c r="L74" i="7"/>
  <c r="C57" i="7" s="1"/>
  <c r="D80" i="7"/>
  <c r="D82" i="7" s="1"/>
  <c r="E80" i="7"/>
  <c r="G74" i="7"/>
  <c r="C74" i="7"/>
  <c r="C54" i="7" s="1"/>
  <c r="N74" i="7"/>
  <c r="G76" i="7"/>
  <c r="L76" i="7"/>
  <c r="C61" i="7" s="1"/>
  <c r="E61" i="7" s="1"/>
  <c r="K74" i="7"/>
  <c r="D74" i="7"/>
  <c r="I74" i="7"/>
  <c r="C56" i="7" s="1"/>
  <c r="J74" i="7"/>
  <c r="F74" i="7"/>
  <c r="C55" i="7" s="1"/>
  <c r="M74" i="7"/>
  <c r="E74" i="7"/>
  <c r="I76" i="7"/>
  <c r="C60" i="7" s="1"/>
  <c r="E60" i="7" s="1"/>
  <c r="G37" i="2"/>
  <c r="L59" i="18"/>
  <c r="I56" i="18"/>
  <c r="G60" i="18"/>
  <c r="F57" i="18"/>
  <c r="D53" i="18"/>
  <c r="D65" i="18"/>
  <c r="E65" i="18"/>
  <c r="E59" i="7"/>
  <c r="K58" i="18"/>
  <c r="M57" i="18"/>
  <c r="M59" i="18"/>
  <c r="G54" i="18"/>
  <c r="K53" i="18"/>
  <c r="B65" i="18"/>
  <c r="O65" i="18" s="1"/>
  <c r="C65" i="18"/>
  <c r="D58" i="18"/>
  <c r="L53" i="18"/>
  <c r="E58" i="18"/>
  <c r="C60" i="18"/>
  <c r="O66" i="18"/>
  <c r="K35" i="2"/>
  <c r="I35" i="2"/>
  <c r="C37" i="2"/>
  <c r="L55" i="18"/>
  <c r="K56" i="18"/>
  <c r="D60" i="18"/>
  <c r="B57" i="18"/>
  <c r="J111" i="8"/>
  <c r="I75" i="8"/>
  <c r="I95" i="8"/>
  <c r="I110" i="8" s="1"/>
  <c r="I96" i="8"/>
  <c r="I111" i="8" s="1"/>
  <c r="I36" i="2"/>
  <c r="K36" i="2"/>
  <c r="M36" i="2" s="1"/>
  <c r="K54" i="18"/>
  <c r="K57" i="18"/>
  <c r="J54" i="18"/>
  <c r="D59" i="18"/>
  <c r="F75" i="8"/>
  <c r="F95" i="8"/>
  <c r="F110" i="8" s="1"/>
  <c r="F96" i="8"/>
  <c r="F111" i="8" s="1"/>
  <c r="K55" i="18"/>
  <c r="B53" i="18"/>
  <c r="E63" i="18"/>
  <c r="D63" i="18"/>
  <c r="J110" i="8"/>
  <c r="K95" i="8"/>
  <c r="K110" i="8" s="1"/>
  <c r="K75" i="8"/>
  <c r="K96" i="8"/>
  <c r="K111" i="8" s="1"/>
  <c r="F54" i="18"/>
  <c r="M58" i="18"/>
  <c r="E59" i="18"/>
  <c r="H59" i="18"/>
  <c r="D55" i="18"/>
  <c r="L95" i="8"/>
  <c r="L110" i="8" s="1"/>
  <c r="L75" i="8"/>
  <c r="L96" i="8"/>
  <c r="L111" i="8" s="1"/>
  <c r="K60" i="18"/>
  <c r="B60" i="18"/>
  <c r="H75" i="8"/>
  <c r="H95" i="8"/>
  <c r="H110" i="8" s="1"/>
  <c r="H96" i="8"/>
  <c r="H111" i="8" s="1"/>
  <c r="D75" i="8"/>
  <c r="D95" i="8"/>
  <c r="D110" i="8" s="1"/>
  <c r="D96" i="8"/>
  <c r="D111" i="8" s="1"/>
  <c r="B63" i="18"/>
  <c r="O63" i="18" s="1"/>
  <c r="C63" i="18"/>
  <c r="B37" i="21"/>
  <c r="J105" i="8"/>
  <c r="J106" i="8"/>
  <c r="J35" i="2"/>
  <c r="L35" i="2"/>
  <c r="N35" i="2" s="1"/>
  <c r="F37" i="2"/>
  <c r="F59" i="18"/>
  <c r="J58" i="18"/>
  <c r="J60" i="18"/>
  <c r="J53" i="18"/>
  <c r="M55" i="18"/>
  <c r="H56" i="18"/>
  <c r="C80" i="7"/>
  <c r="J36" i="2"/>
  <c r="L36" i="2"/>
  <c r="N36" i="2" s="1"/>
  <c r="I59" i="18"/>
  <c r="K59" i="18"/>
  <c r="I57" i="18"/>
  <c r="G55" i="18"/>
  <c r="G59" i="18"/>
  <c r="J59" i="18"/>
  <c r="I58" i="18"/>
  <c r="C95" i="8"/>
  <c r="C110" i="8" s="1"/>
  <c r="C75" i="8"/>
  <c r="C96" i="8"/>
  <c r="C111" i="8" s="1"/>
  <c r="C81" i="7"/>
  <c r="B21" i="21" l="1"/>
  <c r="F106" i="8"/>
  <c r="F105" i="8"/>
  <c r="B25" i="21"/>
  <c r="G105" i="8"/>
  <c r="G112" i="8" s="1"/>
  <c r="G120" i="8" s="1"/>
  <c r="G106" i="8"/>
  <c r="G113" i="8" s="1"/>
  <c r="F123" i="8"/>
  <c r="F116" i="8"/>
  <c r="F117" i="8" s="1"/>
  <c r="F118" i="8" s="1"/>
  <c r="B13" i="21"/>
  <c r="D106" i="8"/>
  <c r="D105" i="8"/>
  <c r="B17" i="21"/>
  <c r="E106" i="8"/>
  <c r="E105" i="8"/>
  <c r="L37" i="2"/>
  <c r="J37" i="2"/>
  <c r="E123" i="8"/>
  <c r="E116" i="8"/>
  <c r="E117" i="8" s="1"/>
  <c r="E118" i="8" s="1"/>
  <c r="H123" i="8"/>
  <c r="H120" i="8"/>
  <c r="H116" i="8"/>
  <c r="H117" i="8" s="1"/>
  <c r="H118" i="8" s="1"/>
  <c r="E82" i="7"/>
  <c r="B41" i="21"/>
  <c r="K105" i="8"/>
  <c r="K106" i="8"/>
  <c r="F64" i="18"/>
  <c r="N64" i="18" s="1"/>
  <c r="S64" i="18" s="1"/>
  <c r="G64" i="18"/>
  <c r="I37" i="2"/>
  <c r="K37" i="2"/>
  <c r="J113" i="8"/>
  <c r="G123" i="8"/>
  <c r="G116" i="8"/>
  <c r="G117" i="8" s="1"/>
  <c r="G118" i="8" s="1"/>
  <c r="B29" i="21"/>
  <c r="H105" i="8"/>
  <c r="H112" i="8" s="1"/>
  <c r="H106" i="8"/>
  <c r="H113" i="8" s="1"/>
  <c r="K123" i="8"/>
  <c r="K116" i="8"/>
  <c r="K117" i="8" s="1"/>
  <c r="K118" i="8" s="1"/>
  <c r="C82" i="7"/>
  <c r="C64" i="7"/>
  <c r="I80" i="7"/>
  <c r="K80" i="7"/>
  <c r="M80" i="7" s="1"/>
  <c r="E58" i="7"/>
  <c r="L81" i="7"/>
  <c r="D65" i="7"/>
  <c r="J81" i="7"/>
  <c r="I81" i="7"/>
  <c r="K81" i="7"/>
  <c r="M81" i="7" s="1"/>
  <c r="D64" i="7"/>
  <c r="B45" i="21"/>
  <c r="L106" i="8"/>
  <c r="L113" i="8" s="1"/>
  <c r="L105" i="8"/>
  <c r="E54" i="7"/>
  <c r="B5" i="21"/>
  <c r="B105" i="8"/>
  <c r="B112" i="8" s="1"/>
  <c r="B106" i="8"/>
  <c r="B113" i="8" s="1"/>
  <c r="F66" i="18"/>
  <c r="N66" i="18" s="1"/>
  <c r="R66" i="18" s="1"/>
  <c r="G66" i="18"/>
  <c r="D123" i="8"/>
  <c r="D116" i="8"/>
  <c r="D117" i="8" s="1"/>
  <c r="D118" i="8" s="1"/>
  <c r="F82" i="7"/>
  <c r="C65" i="7"/>
  <c r="E65" i="7" s="1"/>
  <c r="J80" i="7"/>
  <c r="L80" i="7"/>
  <c r="M35" i="2"/>
  <c r="M116" i="8"/>
  <c r="M117" i="8" s="1"/>
  <c r="M118" i="8" s="1"/>
  <c r="M120" i="8"/>
  <c r="M123" i="8"/>
  <c r="M125" i="8" s="1"/>
  <c r="M126" i="8" s="1"/>
  <c r="M127" i="8" s="1"/>
  <c r="L123" i="8"/>
  <c r="L116" i="8"/>
  <c r="L117" i="8" s="1"/>
  <c r="L118" i="8" s="1"/>
  <c r="F63" i="18"/>
  <c r="N63" i="18" s="1"/>
  <c r="R63" i="18" s="1"/>
  <c r="R69" i="18" s="1"/>
  <c r="G76" i="18" s="1"/>
  <c r="G63" i="18"/>
  <c r="S63" i="18"/>
  <c r="S69" i="18" s="1"/>
  <c r="G72" i="18" s="1"/>
  <c r="B33" i="21"/>
  <c r="I106" i="8"/>
  <c r="I105" i="8"/>
  <c r="I112" i="8" s="1"/>
  <c r="F65" i="18"/>
  <c r="G65" i="18"/>
  <c r="B123" i="8"/>
  <c r="C124" i="8" s="1"/>
  <c r="B116" i="8"/>
  <c r="B117" i="8" s="1"/>
  <c r="B118" i="8" s="1"/>
  <c r="B120" i="8"/>
  <c r="N120" i="8" s="1"/>
  <c r="J123" i="8"/>
  <c r="J116" i="8"/>
  <c r="J117" i="8" s="1"/>
  <c r="J118" i="8" s="1"/>
  <c r="D38" i="21"/>
  <c r="D39" i="21"/>
  <c r="D37" i="21"/>
  <c r="B9" i="21"/>
  <c r="C105" i="8"/>
  <c r="C112" i="8" s="1"/>
  <c r="C120" i="8" s="1"/>
  <c r="C106" i="8"/>
  <c r="C113" i="8" s="1"/>
  <c r="I123" i="8"/>
  <c r="I120" i="8"/>
  <c r="I116" i="8"/>
  <c r="I117" i="8" s="1"/>
  <c r="I118" i="8" s="1"/>
  <c r="B49" i="21"/>
  <c r="M106" i="8"/>
  <c r="M113" i="8" s="1"/>
  <c r="M105" i="8"/>
  <c r="M112" i="8" s="1"/>
  <c r="C123" i="8"/>
  <c r="C116" i="8"/>
  <c r="C117" i="8" s="1"/>
  <c r="C118" i="8" s="1"/>
  <c r="E55" i="7"/>
  <c r="G111" i="8"/>
  <c r="D46" i="21" l="1"/>
  <c r="D47" i="21"/>
  <c r="D45" i="21"/>
  <c r="K47" i="13"/>
  <c r="C37" i="13"/>
  <c r="N121" i="8"/>
  <c r="F125" i="8"/>
  <c r="F126" i="8" s="1"/>
  <c r="F127" i="8" s="1"/>
  <c r="G124" i="8"/>
  <c r="D14" i="21"/>
  <c r="D15" i="21"/>
  <c r="D13" i="21"/>
  <c r="E125" i="8"/>
  <c r="E126" i="8" s="1"/>
  <c r="E127" i="8" s="1"/>
  <c r="F124" i="8"/>
  <c r="D26" i="21"/>
  <c r="D25" i="21"/>
  <c r="D27" i="21"/>
  <c r="K82" i="7"/>
  <c r="I82" i="7"/>
  <c r="H125" i="8"/>
  <c r="H126" i="8" s="1"/>
  <c r="H127" i="8" s="1"/>
  <c r="I124" i="8"/>
  <c r="S66" i="18"/>
  <c r="D125" i="8"/>
  <c r="D126" i="8" s="1"/>
  <c r="D127" i="8" s="1"/>
  <c r="E124" i="8"/>
  <c r="L125" i="8"/>
  <c r="L126" i="8" s="1"/>
  <c r="L127" i="8" s="1"/>
  <c r="M124" i="8"/>
  <c r="N81" i="7"/>
  <c r="K113" i="8"/>
  <c r="E112" i="8"/>
  <c r="E120" i="8" s="1"/>
  <c r="D50" i="21"/>
  <c r="D51" i="21"/>
  <c r="D49" i="21"/>
  <c r="I125" i="8"/>
  <c r="I126" i="8" s="1"/>
  <c r="I127" i="8" s="1"/>
  <c r="J124" i="8"/>
  <c r="R64" i="18"/>
  <c r="D30" i="21"/>
  <c r="D29" i="21"/>
  <c r="D31" i="21"/>
  <c r="K112" i="8"/>
  <c r="K120" i="8" s="1"/>
  <c r="E113" i="8"/>
  <c r="J82" i="7"/>
  <c r="L82" i="7"/>
  <c r="I113" i="8"/>
  <c r="D6" i="21"/>
  <c r="D7" i="21"/>
  <c r="D5" i="21"/>
  <c r="D42" i="21"/>
  <c r="D41" i="21"/>
  <c r="D43" i="21"/>
  <c r="D18" i="21"/>
  <c r="D19" i="21"/>
  <c r="D17" i="21"/>
  <c r="F112" i="8"/>
  <c r="F120" i="8" s="1"/>
  <c r="P118" i="8"/>
  <c r="C3" i="22" s="1"/>
  <c r="K125" i="8"/>
  <c r="K126" i="8" s="1"/>
  <c r="K127" i="8" s="1"/>
  <c r="L124" i="8"/>
  <c r="D10" i="21"/>
  <c r="D11" i="21"/>
  <c r="D9" i="21"/>
  <c r="F37" i="21"/>
  <c r="S37" i="13" s="1"/>
  <c r="S42" i="13" s="1"/>
  <c r="C125" i="8"/>
  <c r="C126" i="8" s="1"/>
  <c r="C127" i="8" s="1"/>
  <c r="N127" i="8" s="1"/>
  <c r="O128" i="8" s="1"/>
  <c r="D124" i="8"/>
  <c r="D34" i="21"/>
  <c r="D35" i="21"/>
  <c r="D33" i="21"/>
  <c r="N80" i="7"/>
  <c r="D112" i="8"/>
  <c r="D120" i="8" s="1"/>
  <c r="F113" i="8"/>
  <c r="J125" i="8"/>
  <c r="J126" i="8" s="1"/>
  <c r="J127" i="8" s="1"/>
  <c r="K124" i="8"/>
  <c r="N65" i="18"/>
  <c r="J112" i="8"/>
  <c r="J120" i="8" s="1"/>
  <c r="L112" i="8"/>
  <c r="L120" i="8" s="1"/>
  <c r="E64" i="7"/>
  <c r="H124" i="8"/>
  <c r="G125" i="8"/>
  <c r="G126" i="8" s="1"/>
  <c r="G127" i="8" s="1"/>
  <c r="D113" i="8"/>
  <c r="D22" i="21"/>
  <c r="D23" i="21"/>
  <c r="D21" i="21"/>
  <c r="F13" i="21" l="1"/>
  <c r="M37" i="13" s="1"/>
  <c r="M42" i="13" s="1"/>
  <c r="F49" i="21"/>
  <c r="V37" i="13" s="1"/>
  <c r="V42" i="13" s="1"/>
  <c r="L14" i="21"/>
  <c r="L42" i="21"/>
  <c r="L46" i="21"/>
  <c r="L26" i="21"/>
  <c r="L37" i="21"/>
  <c r="L22" i="21"/>
  <c r="L38" i="21"/>
  <c r="L5" i="21"/>
  <c r="L50" i="21"/>
  <c r="L18" i="21"/>
  <c r="L10" i="21"/>
  <c r="L34" i="21"/>
  <c r="F5" i="21"/>
  <c r="K37" i="13" s="1"/>
  <c r="L30" i="21"/>
  <c r="F33" i="21"/>
  <c r="R37" i="13" s="1"/>
  <c r="R42" i="13" s="1"/>
  <c r="F21" i="21"/>
  <c r="O37" i="13" s="1"/>
  <c r="O42" i="13" s="1"/>
  <c r="F17" i="21"/>
  <c r="N37" i="13" s="1"/>
  <c r="N42" i="13" s="1"/>
  <c r="F25" i="21"/>
  <c r="P37" i="13" s="1"/>
  <c r="P42" i="13" s="1"/>
  <c r="F45" i="21"/>
  <c r="U37" i="13" s="1"/>
  <c r="U42" i="13" s="1"/>
  <c r="F29" i="21"/>
  <c r="Q37" i="13" s="1"/>
  <c r="Q42" i="13" s="1"/>
  <c r="F41" i="21"/>
  <c r="T37" i="13" s="1"/>
  <c r="T42" i="13" s="1"/>
  <c r="F9" i="21"/>
  <c r="L37" i="13" s="1"/>
  <c r="L42" i="13" s="1"/>
  <c r="S65" i="18"/>
  <c r="R65" i="18"/>
  <c r="O49" i="21"/>
  <c r="O50" i="21" s="1"/>
  <c r="L51" i="21" s="1"/>
  <c r="O45" i="21"/>
  <c r="O46" i="21" s="1"/>
  <c r="L45" i="21" s="1"/>
  <c r="O41" i="21"/>
  <c r="O42" i="21" s="1"/>
  <c r="L43" i="21" s="1"/>
  <c r="O37" i="21"/>
  <c r="O38" i="21" s="1"/>
  <c r="L39" i="21" s="1"/>
  <c r="O33" i="21"/>
  <c r="O34" i="21" s="1"/>
  <c r="L33" i="21" s="1"/>
  <c r="O29" i="21"/>
  <c r="O30" i="21" s="1"/>
  <c r="L29" i="21" s="1"/>
  <c r="O25" i="21"/>
  <c r="O26" i="21" s="1"/>
  <c r="L27" i="21" s="1"/>
  <c r="O21" i="21"/>
  <c r="O22" i="21" s="1"/>
  <c r="L23" i="21" s="1"/>
  <c r="O17" i="21"/>
  <c r="O18" i="21" s="1"/>
  <c r="L17" i="21" s="1"/>
  <c r="O13" i="21"/>
  <c r="O14" i="21" s="1"/>
  <c r="L15" i="21" s="1"/>
  <c r="O9" i="21"/>
  <c r="O10" i="21" s="1"/>
  <c r="L11" i="21" s="1"/>
  <c r="L9" i="21" l="1"/>
  <c r="F38" i="21"/>
  <c r="S38" i="13" s="1"/>
  <c r="S43" i="13" s="1"/>
  <c r="S44" i="13" s="1"/>
  <c r="F39" i="21"/>
  <c r="S39" i="13" s="1"/>
  <c r="L19" i="21"/>
  <c r="L21" i="21"/>
  <c r="F22" i="21" s="1"/>
  <c r="O38" i="13" s="1"/>
  <c r="O43" i="13" s="1"/>
  <c r="O44" i="13" s="1"/>
  <c r="F35" i="21"/>
  <c r="R39" i="13" s="1"/>
  <c r="F34" i="21"/>
  <c r="R38" i="13" s="1"/>
  <c r="R43" i="13" s="1"/>
  <c r="R44" i="13" s="1"/>
  <c r="F26" i="21"/>
  <c r="P38" i="13" s="1"/>
  <c r="P43" i="13" s="1"/>
  <c r="P44" i="13" s="1"/>
  <c r="F11" i="21"/>
  <c r="L39" i="13" s="1"/>
  <c r="F10" i="21"/>
  <c r="L38" i="13" s="1"/>
  <c r="L43" i="13" s="1"/>
  <c r="F47" i="21"/>
  <c r="U39" i="13" s="1"/>
  <c r="F46" i="21"/>
  <c r="U38" i="13" s="1"/>
  <c r="U43" i="13" s="1"/>
  <c r="U44" i="13" s="1"/>
  <c r="F18" i="21"/>
  <c r="N38" i="13" s="1"/>
  <c r="N43" i="13" s="1"/>
  <c r="N44" i="13" s="1"/>
  <c r="F19" i="21"/>
  <c r="N39" i="13" s="1"/>
  <c r="F43" i="21"/>
  <c r="T39" i="13" s="1"/>
  <c r="F42" i="21"/>
  <c r="T38" i="13" s="1"/>
  <c r="T43" i="13" s="1"/>
  <c r="T44" i="13" s="1"/>
  <c r="L31" i="21"/>
  <c r="L35" i="21"/>
  <c r="L41" i="21"/>
  <c r="L49" i="21"/>
  <c r="F51" i="21" s="1"/>
  <c r="V39" i="13" s="1"/>
  <c r="L13" i="21"/>
  <c r="F14" i="21" s="1"/>
  <c r="M38" i="13" s="1"/>
  <c r="M43" i="13" s="1"/>
  <c r="M44" i="13" s="1"/>
  <c r="F31" i="21"/>
  <c r="Q39" i="13" s="1"/>
  <c r="F30" i="21"/>
  <c r="Q38" i="13" s="1"/>
  <c r="Q43" i="13" s="1"/>
  <c r="Q44" i="13" s="1"/>
  <c r="F50" i="21"/>
  <c r="V38" i="13" s="1"/>
  <c r="V43" i="13" s="1"/>
  <c r="V44" i="13" s="1"/>
  <c r="L47" i="21"/>
  <c r="L25" i="21"/>
  <c r="F27" i="21" s="1"/>
  <c r="P39" i="13" s="1"/>
  <c r="F15" i="21" l="1"/>
  <c r="M39" i="13" s="1"/>
  <c r="F23" i="21"/>
  <c r="O39" i="13" s="1"/>
  <c r="W43" i="13"/>
  <c r="C4" i="22" s="1"/>
  <c r="L44" i="13"/>
  <c r="W44" i="13" s="1"/>
  <c r="C5" i="22" s="1"/>
</calcChain>
</file>

<file path=xl/sharedStrings.xml><?xml version="1.0" encoding="utf-8"?>
<sst xmlns="http://schemas.openxmlformats.org/spreadsheetml/2006/main" count="687" uniqueCount="344">
  <si>
    <t>A</t>
  </si>
  <si>
    <t>B</t>
  </si>
  <si>
    <t>C</t>
  </si>
  <si>
    <t>D</t>
  </si>
  <si>
    <t>E</t>
  </si>
  <si>
    <t>F</t>
  </si>
  <si>
    <t>G</t>
  </si>
  <si>
    <t>H</t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</si>
  <si>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</si>
  <si>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</si>
  <si>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</si>
  <si>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</si>
  <si>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</si>
  <si>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</si>
  <si>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</si>
  <si>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</si>
  <si>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Filter 2 Data</t>
    <phoneticPr fontId="1"/>
  </si>
  <si>
    <t>Transmittance Data</t>
    <phoneticPr fontId="1"/>
  </si>
  <si>
    <t>T2</t>
    <phoneticPr fontId="1"/>
  </si>
  <si>
    <t>SLR</t>
    <phoneticPr fontId="1"/>
  </si>
  <si>
    <t>SLO</t>
    <phoneticPr fontId="1"/>
  </si>
  <si>
    <t>Null</t>
    <phoneticPr fontId="1"/>
  </si>
  <si>
    <t>Filter Null Data</t>
    <phoneticPr fontId="1"/>
  </si>
  <si>
    <t>SLR</t>
    <phoneticPr fontId="1"/>
  </si>
  <si>
    <t>T2</t>
    <phoneticPr fontId="1"/>
  </si>
  <si>
    <t>SLR</t>
    <phoneticPr fontId="1"/>
  </si>
  <si>
    <t>F2</t>
    <phoneticPr fontId="1"/>
  </si>
  <si>
    <t>1/1</t>
    <phoneticPr fontId="1"/>
  </si>
  <si>
    <t>1/4</t>
    <phoneticPr fontId="1"/>
  </si>
  <si>
    <t>1/16</t>
    <phoneticPr fontId="1"/>
  </si>
  <si>
    <t>1/64</t>
    <phoneticPr fontId="1"/>
  </si>
  <si>
    <t>Ratio</t>
    <phoneticPr fontId="1"/>
  </si>
  <si>
    <t>SLO1/1</t>
    <phoneticPr fontId="1"/>
  </si>
  <si>
    <t>SLO1/4</t>
    <phoneticPr fontId="1"/>
  </si>
  <si>
    <t>SLO1/16</t>
    <phoneticPr fontId="1"/>
  </si>
  <si>
    <t>SLO1/64</t>
    <phoneticPr fontId="1"/>
  </si>
  <si>
    <t>SLR1/1</t>
    <phoneticPr fontId="1"/>
  </si>
  <si>
    <t>SLR1/4</t>
    <phoneticPr fontId="1"/>
  </si>
  <si>
    <t>SLR1/16</t>
    <phoneticPr fontId="1"/>
  </si>
  <si>
    <t>SLR1/64</t>
    <phoneticPr fontId="1"/>
  </si>
  <si>
    <t>O&amp;R 1/1</t>
    <phoneticPr fontId="1"/>
  </si>
  <si>
    <t>SLR</t>
    <phoneticPr fontId="1"/>
  </si>
  <si>
    <t>Chemical Code:</t>
    <phoneticPr fontId="1"/>
  </si>
  <si>
    <t>Dissolution:</t>
    <phoneticPr fontId="1"/>
  </si>
  <si>
    <t>Comment:</t>
    <phoneticPr fontId="1"/>
  </si>
  <si>
    <t>Laboratory</t>
    <phoneticPr fontId="12"/>
  </si>
  <si>
    <r>
      <t>Date:</t>
    </r>
    <r>
      <rPr>
        <b/>
        <sz val="8"/>
        <rFont val="Arial"/>
        <family val="2"/>
      </rPr>
      <t xml:space="preserve">
(YYYY/MM/DD)</t>
    </r>
    <phoneticPr fontId="12"/>
  </si>
  <si>
    <t>Operator:</t>
    <phoneticPr fontId="12"/>
  </si>
  <si>
    <t>I.I-SLR-LA</t>
    <phoneticPr fontId="1"/>
  </si>
  <si>
    <t>SD</t>
    <phoneticPr fontId="1"/>
  </si>
  <si>
    <t>「リンクの自動更新が無効になりました」と表示されるエラーを修正</t>
    <rPh sb="5" eb="7">
      <t>ジドウ</t>
    </rPh>
    <rPh sb="7" eb="9">
      <t>コウシン</t>
    </rPh>
    <rPh sb="10" eb="12">
      <t>ムコウ</t>
    </rPh>
    <rPh sb="20" eb="22">
      <t>ヒョウジ</t>
    </rPh>
    <rPh sb="29" eb="31">
      <t>シュウセイ</t>
    </rPh>
    <phoneticPr fontId="1"/>
  </si>
  <si>
    <t>実験者が入力するセル以外を保護。</t>
    <rPh sb="0" eb="2">
      <t>ジッケン</t>
    </rPh>
    <rPh sb="2" eb="3">
      <t>シャ</t>
    </rPh>
    <rPh sb="4" eb="6">
      <t>ニュウリョク</t>
    </rPh>
    <rPh sb="10" eb="12">
      <t>イガイ</t>
    </rPh>
    <rPh sb="13" eb="15">
      <t>ホゴ</t>
    </rPh>
    <phoneticPr fontId="1"/>
  </si>
  <si>
    <t>I.I.の単位を%から1を最大とする割合に変更</t>
    <rPh sb="5" eb="7">
      <t>タンイ</t>
    </rPh>
    <rPh sb="13" eb="15">
      <t>サイダイ</t>
    </rPh>
    <rPh sb="18" eb="20">
      <t>ワリアイ</t>
    </rPh>
    <rPh sb="21" eb="23">
      <t>ヘンコウ</t>
    </rPh>
    <phoneticPr fontId="1"/>
  </si>
  <si>
    <t>Ver.005 20111020配布</t>
    <rPh sb="16" eb="18">
      <t>ハイフ</t>
    </rPh>
    <phoneticPr fontId="1"/>
  </si>
  <si>
    <t>判定においてsensitizer, non-sensitizerのかわりに陽性、陰性を使用</t>
    <rPh sb="0" eb="2">
      <t>ハンテイ</t>
    </rPh>
    <rPh sb="37" eb="39">
      <t>ヨウセイ</t>
    </rPh>
    <rPh sb="40" eb="42">
      <t>インセイ</t>
    </rPh>
    <rPh sb="43" eb="45">
      <t>シヨウ</t>
    </rPh>
    <phoneticPr fontId="1"/>
  </si>
  <si>
    <t>Ver.004 20111014配布</t>
    <rPh sb="16" eb="18">
      <t>ハイフ</t>
    </rPh>
    <phoneticPr fontId="1"/>
  </si>
  <si>
    <t>Inhibition indexの算出方法について簡略化</t>
    <rPh sb="17" eb="19">
      <t>サンシュツ</t>
    </rPh>
    <rPh sb="19" eb="21">
      <t>ホウホウ</t>
    </rPh>
    <rPh sb="25" eb="28">
      <t>カンリャクカ</t>
    </rPh>
    <phoneticPr fontId="1"/>
  </si>
  <si>
    <t>被検物質の表示濃度を小数点以下2けたに変更</t>
    <rPh sb="0" eb="2">
      <t>ヒケン</t>
    </rPh>
    <rPh sb="2" eb="4">
      <t>ブッシツ</t>
    </rPh>
    <rPh sb="5" eb="7">
      <t>ヒョウジ</t>
    </rPh>
    <rPh sb="7" eb="9">
      <t>ノウド</t>
    </rPh>
    <rPh sb="10" eb="13">
      <t>ショウスウテン</t>
    </rPh>
    <rPh sb="13" eb="15">
      <t>イカ</t>
    </rPh>
    <rPh sb="19" eb="21">
      <t>ヘンコウ</t>
    </rPh>
    <phoneticPr fontId="1"/>
  </si>
  <si>
    <t>Ver.003</t>
    <phoneticPr fontId="1"/>
  </si>
  <si>
    <t>データ入力用のシートを変更（産総研より）</t>
    <rPh sb="3" eb="6">
      <t>ニュウリョクヨウ</t>
    </rPh>
    <rPh sb="11" eb="13">
      <t>ヘンコウ</t>
    </rPh>
    <rPh sb="14" eb="17">
      <t>サンソウケン</t>
    </rPh>
    <phoneticPr fontId="1"/>
  </si>
  <si>
    <t>Ver.002 20111011配布</t>
    <rPh sb="16" eb="18">
      <t>ハイフ</t>
    </rPh>
    <phoneticPr fontId="1"/>
  </si>
  <si>
    <t>face sheetを追加</t>
    <rPh sb="11" eb="13">
      <t>ツイカ</t>
    </rPh>
    <phoneticPr fontId="1"/>
  </si>
  <si>
    <t>Inhibition index of SLR-LA, FInSLO-LA, Inhibition indexのグラフを追加</t>
    <rPh sb="60" eb="62">
      <t>ツイカ</t>
    </rPh>
    <phoneticPr fontId="1"/>
  </si>
  <si>
    <t>sensitizer, non-sensitizerの判定を表示するよう追加</t>
    <rPh sb="27" eb="29">
      <t>ハンテイ</t>
    </rPh>
    <rPh sb="30" eb="32">
      <t>ヒョウジ</t>
    </rPh>
    <rPh sb="36" eb="38">
      <t>ツイカ</t>
    </rPh>
    <phoneticPr fontId="1"/>
  </si>
  <si>
    <t>Ver.001 20110929配布（施設間試験グラフひな形20110922.xlsとして配布）</t>
    <rPh sb="16" eb="18">
      <t>ハイフ</t>
    </rPh>
    <rPh sb="19" eb="21">
      <t>シセツ</t>
    </rPh>
    <rPh sb="21" eb="22">
      <t>カン</t>
    </rPh>
    <rPh sb="22" eb="24">
      <t>シケン</t>
    </rPh>
    <rPh sb="29" eb="30">
      <t>ガタ</t>
    </rPh>
    <rPh sb="45" eb="47">
      <t>ハイフ</t>
    </rPh>
    <phoneticPr fontId="1"/>
  </si>
  <si>
    <t>Ver.006 20111027配布</t>
    <rPh sb="16" eb="18">
      <t>ハイフ</t>
    </rPh>
    <phoneticPr fontId="1"/>
  </si>
  <si>
    <t>NAC(-)</t>
    <phoneticPr fontId="1"/>
  </si>
  <si>
    <t>LPS用のシートを追加</t>
    <rPh sb="3" eb="4">
      <t>ヨウ</t>
    </rPh>
    <rPh sb="9" eb="11">
      <t>ツイカ</t>
    </rPh>
    <phoneticPr fontId="1"/>
  </si>
  <si>
    <t>Ver.007 20111101配布</t>
    <rPh sb="16" eb="18">
      <t>ハイフ</t>
    </rPh>
    <phoneticPr fontId="1"/>
  </si>
  <si>
    <t>Result Formatの計算値の小数点以下の桁数を整理
（SLO-LA、SLR-LAは桁数0、nSLO-LA、I.I.-SLR-LA、FInSLO-LA、I.I.は桁数3）</t>
    <rPh sb="14" eb="17">
      <t>ケイサンチ</t>
    </rPh>
    <rPh sb="18" eb="21">
      <t>ショウスウテン</t>
    </rPh>
    <rPh sb="21" eb="23">
      <t>イカ</t>
    </rPh>
    <rPh sb="24" eb="26">
      <t>ケタスウ</t>
    </rPh>
    <rPh sb="27" eb="29">
      <t>セイリ</t>
    </rPh>
    <rPh sb="45" eb="47">
      <t>ケタスウ</t>
    </rPh>
    <rPh sb="84" eb="86">
      <t>ケタスウ</t>
    </rPh>
    <phoneticPr fontId="1"/>
  </si>
  <si>
    <t>O&amp;R 1/10</t>
    <phoneticPr fontId="1"/>
  </si>
  <si>
    <t>Ratio</t>
    <phoneticPr fontId="1"/>
  </si>
  <si>
    <t>O&amp;R 1/10</t>
    <phoneticPr fontId="1"/>
  </si>
  <si>
    <t>Ave1/1</t>
    <phoneticPr fontId="1"/>
  </si>
  <si>
    <t>Ave 1/10</t>
    <phoneticPr fontId="1"/>
  </si>
  <si>
    <t>SDV1/1</t>
    <phoneticPr fontId="1"/>
  </si>
  <si>
    <t>SDV1/10</t>
    <phoneticPr fontId="1"/>
  </si>
  <si>
    <t>CV1/1</t>
    <phoneticPr fontId="1"/>
  </si>
  <si>
    <t>CV1/10</t>
    <phoneticPr fontId="1"/>
  </si>
  <si>
    <t>(SLO)</t>
    <phoneticPr fontId="1"/>
  </si>
  <si>
    <t>(SLR)</t>
    <phoneticPr fontId="1"/>
  </si>
  <si>
    <t>(Mix)</t>
    <phoneticPr fontId="1"/>
  </si>
  <si>
    <t>1/4</t>
  </si>
  <si>
    <t>Average</t>
    <phoneticPr fontId="1"/>
  </si>
  <si>
    <t>Ratio(O/R)</t>
    <phoneticPr fontId="1"/>
  </si>
  <si>
    <t>Ver.008および009 20111130修正</t>
    <rPh sb="22" eb="24">
      <t>シュウセイ</t>
    </rPh>
    <phoneticPr fontId="1"/>
  </si>
  <si>
    <t>「装置確認」「透過係数」両シートの更新（産総研）</t>
    <rPh sb="1" eb="3">
      <t>ソウチ</t>
    </rPh>
    <rPh sb="3" eb="5">
      <t>カクニン</t>
    </rPh>
    <rPh sb="7" eb="9">
      <t>トウカ</t>
    </rPh>
    <rPh sb="9" eb="11">
      <t>ケイスウ</t>
    </rPh>
    <rPh sb="12" eb="13">
      <t>リョウ</t>
    </rPh>
    <rPh sb="17" eb="19">
      <t>コウシン</t>
    </rPh>
    <rPh sb="20" eb="21">
      <t>サン</t>
    </rPh>
    <rPh sb="21" eb="22">
      <t>ソウ</t>
    </rPh>
    <rPh sb="22" eb="23">
      <t>ケン</t>
    </rPh>
    <phoneticPr fontId="1"/>
  </si>
  <si>
    <t xml:space="preserve">「データ入力」シートの保護解除。データクリア。 </t>
    <rPh sb="4" eb="6">
      <t>ニュウリョク</t>
    </rPh>
    <rPh sb="11" eb="13">
      <t>ホゴ</t>
    </rPh>
    <rPh sb="13" eb="15">
      <t>カイジョ</t>
    </rPh>
    <phoneticPr fontId="1"/>
  </si>
  <si>
    <t>英訳</t>
    <rPh sb="0" eb="2">
      <t>エイヤク</t>
    </rPh>
    <phoneticPr fontId="1"/>
  </si>
  <si>
    <t>Ver.010 20111205修正</t>
    <rPh sb="16" eb="18">
      <t>シュウセイ</t>
    </rPh>
    <phoneticPr fontId="1"/>
  </si>
  <si>
    <t>inversion matrix</t>
    <phoneticPr fontId="1"/>
  </si>
  <si>
    <t xml:space="preserve">         Result</t>
    <phoneticPr fontId="1"/>
  </si>
  <si>
    <t>Transmittance</t>
    <phoneticPr fontId="1"/>
  </si>
  <si>
    <t>Filter#</t>
    <phoneticPr fontId="1"/>
  </si>
  <si>
    <t>noise(%)</t>
    <phoneticPr fontId="1"/>
  </si>
  <si>
    <t>Inversion matrix</t>
    <phoneticPr fontId="1"/>
  </si>
  <si>
    <t>inversion matrix</t>
    <phoneticPr fontId="1"/>
  </si>
  <si>
    <t>Input measured data (counts)</t>
    <phoneticPr fontId="1"/>
  </si>
  <si>
    <t>Data without filter</t>
    <phoneticPr fontId="1"/>
  </si>
  <si>
    <t>Data using Filter 2</t>
    <phoneticPr fontId="1"/>
  </si>
  <si>
    <t>Input transmittance factors of filter 2 for SLO and SLR</t>
    <phoneticPr fontId="1"/>
  </si>
  <si>
    <t>inversion matrix</t>
    <phoneticPr fontId="1"/>
  </si>
  <si>
    <t>Judge</t>
    <phoneticPr fontId="1"/>
  </si>
  <si>
    <t>Ver.011E 20120605修正</t>
    <rPh sb="17" eb="19">
      <t>シュウセイ</t>
    </rPh>
    <phoneticPr fontId="1"/>
  </si>
  <si>
    <t>プレートデザインの修正に伴い、ResultFormatシートを修正</t>
    <rPh sb="9" eb="11">
      <t>シュウセイ</t>
    </rPh>
    <rPh sb="12" eb="13">
      <t>トモナ</t>
    </rPh>
    <rPh sb="31" eb="33">
      <t>シュウセイ</t>
    </rPh>
    <phoneticPr fontId="1"/>
  </si>
  <si>
    <t>2-4回目実験のグラフ軸項目のために1/1.5倍希釈系列の計算列を追加</t>
    <rPh sb="3" eb="5">
      <t>カイメ</t>
    </rPh>
    <rPh sb="5" eb="7">
      <t>ジッケン</t>
    </rPh>
    <rPh sb="11" eb="12">
      <t>ジク</t>
    </rPh>
    <rPh sb="12" eb="14">
      <t>コウモク</t>
    </rPh>
    <rPh sb="23" eb="24">
      <t>バイ</t>
    </rPh>
    <rPh sb="24" eb="26">
      <t>キシャク</t>
    </rPh>
    <rPh sb="26" eb="28">
      <t>ケイレツ</t>
    </rPh>
    <rPh sb="29" eb="31">
      <t>ケイサン</t>
    </rPh>
    <rPh sb="31" eb="32">
      <t>レツ</t>
    </rPh>
    <rPh sb="33" eb="35">
      <t>ツイカ</t>
    </rPh>
    <phoneticPr fontId="1"/>
  </si>
  <si>
    <t>判定の条件からI.I.-SLRに関する条件を削除</t>
    <rPh sb="0" eb="2">
      <t>ハンテイ</t>
    </rPh>
    <rPh sb="3" eb="5">
      <t>ジョウケン</t>
    </rPh>
    <rPh sb="16" eb="17">
      <t>カン</t>
    </rPh>
    <rPh sb="19" eb="21">
      <t>ジョウケン</t>
    </rPh>
    <rPh sb="22" eb="24">
      <t>サクジョ</t>
    </rPh>
    <phoneticPr fontId="1"/>
  </si>
  <si>
    <t>LPS用シートの配置の変更</t>
    <rPh sb="3" eb="4">
      <t>ヨウ</t>
    </rPh>
    <rPh sb="8" eb="10">
      <t>ハイチ</t>
    </rPh>
    <rPh sb="11" eb="13">
      <t>ヘンコウ</t>
    </rPh>
    <phoneticPr fontId="1"/>
  </si>
  <si>
    <t>Cobalt chloride用のシートを追加</t>
    <rPh sb="15" eb="16">
      <t>ヨウ</t>
    </rPh>
    <rPh sb="21" eb="23">
      <t>ツイカ</t>
    </rPh>
    <phoneticPr fontId="1"/>
  </si>
  <si>
    <t>STDEV</t>
    <phoneticPr fontId="1"/>
  </si>
  <si>
    <t>Average</t>
    <phoneticPr fontId="1"/>
  </si>
  <si>
    <r>
      <t>LPS, CoCl</t>
    </r>
    <r>
      <rPr>
        <vertAlign val="subscript"/>
        <sz val="10"/>
        <rFont val="ＭＳ ゴシック"/>
        <family val="3"/>
        <charset val="128"/>
      </rPr>
      <t>2</t>
    </r>
    <r>
      <rPr>
        <sz val="10"/>
        <rFont val="ＭＳ ゴシック"/>
        <family val="3"/>
        <charset val="128"/>
      </rPr>
      <t>のアッセイを1枚のプレートでおこなうことによる変更</t>
    </r>
    <rPh sb="17" eb="18">
      <t>マイ</t>
    </rPh>
    <rPh sb="33" eb="35">
      <t>ヘンコウ</t>
    </rPh>
    <phoneticPr fontId="1"/>
  </si>
  <si>
    <t>Ver.012.1E 20120710修正</t>
    <rPh sb="19" eb="21">
      <t>シュウセイ</t>
    </rPh>
    <phoneticPr fontId="1"/>
  </si>
  <si>
    <t>Chemical
concentration</t>
    <phoneticPr fontId="1"/>
  </si>
  <si>
    <t>Exp.</t>
    <phoneticPr fontId="12"/>
  </si>
  <si>
    <t>Green</t>
    <phoneticPr fontId="1"/>
  </si>
  <si>
    <t>Blue</t>
    <phoneticPr fontId="1"/>
  </si>
  <si>
    <t>Red</t>
    <phoneticPr fontId="1"/>
  </si>
  <si>
    <t>判定のフォントの大きさ、色を修正</t>
    <rPh sb="0" eb="2">
      <t>ハンテイ</t>
    </rPh>
    <rPh sb="8" eb="9">
      <t>オオ</t>
    </rPh>
    <rPh sb="12" eb="13">
      <t>イロ</t>
    </rPh>
    <rPh sb="14" eb="16">
      <t>シュウセイ</t>
    </rPh>
    <phoneticPr fontId="1"/>
  </si>
  <si>
    <t>日常の測定装置の精度管理用のシートを修正</t>
    <rPh sb="12" eb="13">
      <t>ヨウ</t>
    </rPh>
    <rPh sb="18" eb="20">
      <t>シュウセイ</t>
    </rPh>
    <phoneticPr fontId="1"/>
  </si>
  <si>
    <t>FaceSheetの実験回数、溶媒、調製濃度の入力が、ResultFormat, Graphの被試験物質濃度に反映されるよう修正</t>
    <rPh sb="10" eb="12">
      <t>ジッケン</t>
    </rPh>
    <rPh sb="12" eb="14">
      <t>カイスウ</t>
    </rPh>
    <rPh sb="15" eb="17">
      <t>ヨウバイ</t>
    </rPh>
    <rPh sb="18" eb="20">
      <t>チョウセイ</t>
    </rPh>
    <rPh sb="20" eb="22">
      <t>ノウド</t>
    </rPh>
    <rPh sb="23" eb="25">
      <t>ニュウリョク</t>
    </rPh>
    <rPh sb="47" eb="48">
      <t>ヒ</t>
    </rPh>
    <rPh sb="48" eb="50">
      <t>シケン</t>
    </rPh>
    <rPh sb="50" eb="52">
      <t>ブッシツ</t>
    </rPh>
    <rPh sb="52" eb="54">
      <t>ノウド</t>
    </rPh>
    <rPh sb="55" eb="57">
      <t>ハンエイ</t>
    </rPh>
    <rPh sb="62" eb="64">
      <t>シュウセイ</t>
    </rPh>
    <phoneticPr fontId="1"/>
  </si>
  <si>
    <t>1st experimentの結果から2nd, 3rd, 4th experimentでの被試験物質の調製濃度が出力されるよう修正</t>
    <rPh sb="15" eb="17">
      <t>ケッカ</t>
    </rPh>
    <rPh sb="45" eb="46">
      <t>ヒ</t>
    </rPh>
    <rPh sb="46" eb="48">
      <t>シケン</t>
    </rPh>
    <rPh sb="48" eb="50">
      <t>ブッシツ</t>
    </rPh>
    <rPh sb="51" eb="53">
      <t>チョウセイ</t>
    </rPh>
    <rPh sb="53" eb="55">
      <t>ノウド</t>
    </rPh>
    <rPh sb="56" eb="58">
      <t>シュツリョク</t>
    </rPh>
    <rPh sb="63" eb="65">
      <t>シュウセイ</t>
    </rPh>
    <phoneticPr fontId="1"/>
  </si>
  <si>
    <t>Ver.012.2E 20120716配布</t>
    <rPh sb="19" eb="21">
      <t>ハイフ</t>
    </rPh>
    <phoneticPr fontId="1"/>
  </si>
  <si>
    <t>F2/F0</t>
    <phoneticPr fontId="1"/>
  </si>
  <si>
    <t>F2</t>
    <phoneticPr fontId="1"/>
  </si>
  <si>
    <t>F0</t>
    <phoneticPr fontId="1"/>
  </si>
  <si>
    <t>H</t>
    <phoneticPr fontId="1"/>
  </si>
  <si>
    <t>G</t>
    <phoneticPr fontId="1"/>
  </si>
  <si>
    <t>E</t>
    <phoneticPr fontId="1"/>
  </si>
  <si>
    <t>D</t>
    <phoneticPr fontId="1"/>
  </si>
  <si>
    <t>C</t>
    <phoneticPr fontId="1"/>
  </si>
  <si>
    <t>B</t>
    <phoneticPr fontId="1"/>
  </si>
  <si>
    <t>A</t>
    <phoneticPr fontId="1"/>
  </si>
  <si>
    <t>Null</t>
    <phoneticPr fontId="1"/>
  </si>
  <si>
    <t>Ver.012.3E 20120718修正</t>
    <rPh sb="19" eb="21">
      <t>シュウセイ</t>
    </rPh>
    <phoneticPr fontId="1"/>
  </si>
  <si>
    <t>LED用のシートを追加</t>
    <rPh sb="3" eb="4">
      <t>ヨウ</t>
    </rPh>
    <rPh sb="9" eb="11">
      <t>ツイカ</t>
    </rPh>
    <phoneticPr fontId="1"/>
  </si>
  <si>
    <t>Ver.013E 20120719配布</t>
    <rPh sb="17" eb="19">
      <t>ハイフ</t>
    </rPh>
    <phoneticPr fontId="1"/>
  </si>
  <si>
    <t>Ver.013.1E 20120725修正</t>
    <rPh sb="19" eb="21">
      <t>シュウセイ</t>
    </rPh>
    <phoneticPr fontId="1"/>
  </si>
  <si>
    <t>Cobalt chlorideシート#B64を修正</t>
    <rPh sb="23" eb="25">
      <t>シュウセイ</t>
    </rPh>
    <phoneticPr fontId="1"/>
  </si>
  <si>
    <t>Ver.013.2E 20120730修正</t>
    <rPh sb="19" eb="21">
      <t>シュウセイ</t>
    </rPh>
    <phoneticPr fontId="1"/>
  </si>
  <si>
    <t>FaceSheet #I17に入力できる濃度の選択肢を追加</t>
    <rPh sb="15" eb="17">
      <t>ニュウリョク</t>
    </rPh>
    <rPh sb="20" eb="22">
      <t>ノウド</t>
    </rPh>
    <rPh sb="23" eb="26">
      <t>センタクシ</t>
    </rPh>
    <rPh sb="27" eb="29">
      <t>ツイカ</t>
    </rPh>
    <phoneticPr fontId="1"/>
  </si>
  <si>
    <t>FaceSheet #I17に任意の数値を入力が可能になるように修正</t>
    <rPh sb="15" eb="17">
      <t>ニンイ</t>
    </rPh>
    <rPh sb="18" eb="20">
      <t>スウチ</t>
    </rPh>
    <rPh sb="21" eb="23">
      <t>ニュウリョク</t>
    </rPh>
    <rPh sb="24" eb="26">
      <t>カノウ</t>
    </rPh>
    <rPh sb="32" eb="34">
      <t>シュウセイ</t>
    </rPh>
    <phoneticPr fontId="1"/>
  </si>
  <si>
    <t>Ver.013.3E 20120801修正</t>
    <rPh sb="19" eb="21">
      <t>シュウセイ</t>
    </rPh>
    <phoneticPr fontId="1"/>
  </si>
  <si>
    <t>FaceSheetのexp. No.とChemical CodeのドロップダウンメニューにCo/LPSを追加</t>
    <rPh sb="52" eb="54">
      <t>ツイカ</t>
    </rPh>
    <phoneticPr fontId="1"/>
  </si>
  <si>
    <t>Ver.014E 201210修正</t>
    <rPh sb="15" eb="17">
      <t>シュウセイ</t>
    </rPh>
    <phoneticPr fontId="1"/>
  </si>
  <si>
    <t>FaceSheetのRound. No.を記入するタグを追加</t>
    <rPh sb="21" eb="23">
      <t>キニュウ</t>
    </rPh>
    <rPh sb="28" eb="30">
      <t>ツイカ</t>
    </rPh>
    <phoneticPr fontId="1"/>
  </si>
  <si>
    <t>CoCl2の濃度を変更</t>
    <rPh sb="6" eb="8">
      <t>ノウド</t>
    </rPh>
    <rPh sb="9" eb="11">
      <t>ヘンコウ</t>
    </rPh>
    <phoneticPr fontId="1"/>
  </si>
  <si>
    <t>FaceSheetの溶媒がddwの場合の選択できる濃度を追加</t>
    <rPh sb="10" eb="12">
      <t>ヨウバイ</t>
    </rPh>
    <rPh sb="17" eb="19">
      <t>バアイ</t>
    </rPh>
    <rPh sb="20" eb="22">
      <t>センタク</t>
    </rPh>
    <rPh sb="25" eb="27">
      <t>ノウド</t>
    </rPh>
    <rPh sb="28" eb="30">
      <t>ツイカ</t>
    </rPh>
    <phoneticPr fontId="1"/>
  </si>
  <si>
    <t>LPSに関する記述を削除</t>
    <rPh sb="4" eb="5">
      <t>カン</t>
    </rPh>
    <rPh sb="7" eb="9">
      <t>キジュツ</t>
    </rPh>
    <rPh sb="10" eb="12">
      <t>サクジョ</t>
    </rPh>
    <phoneticPr fontId="1"/>
  </si>
  <si>
    <t>Round</t>
    <phoneticPr fontId="12"/>
  </si>
  <si>
    <t>Average</t>
    <phoneticPr fontId="1"/>
  </si>
  <si>
    <t>S.D.</t>
    <phoneticPr fontId="1"/>
  </si>
  <si>
    <t>Average</t>
    <phoneticPr fontId="1"/>
  </si>
  <si>
    <t>Ver. 0--E 20131007修正</t>
    <rPh sb="18" eb="20">
      <t>シュウセイ</t>
    </rPh>
    <phoneticPr fontId="1"/>
  </si>
  <si>
    <t>NACに関する記述を削除</t>
    <rPh sb="4" eb="5">
      <t>カン</t>
    </rPh>
    <rPh sb="7" eb="9">
      <t>キジュツ</t>
    </rPh>
    <rPh sb="10" eb="12">
      <t>サクジョ</t>
    </rPh>
    <phoneticPr fontId="1"/>
  </si>
  <si>
    <t>グラフの大きさを縮小（パワーポイント等にコピーペーストしやすくするため）</t>
    <rPh sb="4" eb="5">
      <t>オオ</t>
    </rPh>
    <rPh sb="8" eb="10">
      <t>シュクショウ</t>
    </rPh>
    <rPh sb="18" eb="19">
      <t>トウ</t>
    </rPh>
    <phoneticPr fontId="1"/>
  </si>
  <si>
    <t>Ver. 0--E 20131107修正</t>
    <rPh sb="18" eb="20">
      <t>シュウセイ</t>
    </rPh>
    <phoneticPr fontId="1"/>
  </si>
  <si>
    <t>判定条件にI.I.-SLR-LA&gt;=0.05の条件を追加</t>
    <rPh sb="0" eb="2">
      <t>ハンテイ</t>
    </rPh>
    <rPh sb="2" eb="4">
      <t>ジョウケン</t>
    </rPh>
    <rPh sb="23" eb="25">
      <t>ジョウケン</t>
    </rPh>
    <rPh sb="26" eb="28">
      <t>ツイカ</t>
    </rPh>
    <phoneticPr fontId="1"/>
  </si>
  <si>
    <t>上限</t>
    <rPh sb="0" eb="2">
      <t>ジョウゲン</t>
    </rPh>
    <phoneticPr fontId="1"/>
  </si>
  <si>
    <t>下限</t>
    <rPh sb="0" eb="2">
      <t>カゲン</t>
    </rPh>
    <phoneticPr fontId="1"/>
  </si>
  <si>
    <t>比</t>
    <rPh sb="0" eb="1">
      <t>ヒ</t>
    </rPh>
    <phoneticPr fontId="1"/>
  </si>
  <si>
    <t>(11)</t>
  </si>
  <si>
    <t>(10)</t>
  </si>
  <si>
    <t>(9)</t>
  </si>
  <si>
    <t>(8)</t>
  </si>
  <si>
    <t>(7)</t>
  </si>
  <si>
    <t>(6)</t>
  </si>
  <si>
    <t>(5)</t>
  </si>
  <si>
    <t>(4)</t>
  </si>
  <si>
    <t>(3)</t>
  </si>
  <si>
    <t>(2)</t>
  </si>
  <si>
    <t>C</t>
    <phoneticPr fontId="1"/>
  </si>
  <si>
    <t>n(with)</t>
    <phoneticPr fontId="1"/>
  </si>
  <si>
    <t>t</t>
    <phoneticPr fontId="1"/>
  </si>
  <si>
    <t>B</t>
    <phoneticPr fontId="1"/>
  </si>
  <si>
    <t>with.sd</t>
    <phoneticPr fontId="1"/>
  </si>
  <si>
    <t>DF</t>
    <phoneticPr fontId="1"/>
  </si>
  <si>
    <t>A</t>
    <phoneticPr fontId="1"/>
  </si>
  <si>
    <t>with.ave</t>
    <phoneticPr fontId="1"/>
  </si>
  <si>
    <t>C</t>
    <phoneticPr fontId="1"/>
  </si>
  <si>
    <t>n(with)</t>
    <phoneticPr fontId="1"/>
  </si>
  <si>
    <t>t</t>
    <phoneticPr fontId="1"/>
  </si>
  <si>
    <t>B</t>
    <phoneticPr fontId="1"/>
  </si>
  <si>
    <t>(1)</t>
  </si>
  <si>
    <t>Y^2-z^2*σy^2/ny</t>
    <phoneticPr fontId="25"/>
  </si>
  <si>
    <t>n(without)</t>
    <phoneticPr fontId="1"/>
  </si>
  <si>
    <t>(-2xy)</t>
    <phoneticPr fontId="25"/>
  </si>
  <si>
    <t>without.sd</t>
    <phoneticPr fontId="1"/>
  </si>
  <si>
    <t>X^2-z^2*σx^2/nx</t>
    <phoneticPr fontId="25"/>
  </si>
  <si>
    <t>without.ave</t>
    <phoneticPr fontId="1"/>
  </si>
  <si>
    <t>without</t>
    <phoneticPr fontId="1"/>
  </si>
  <si>
    <t>z</t>
    <phoneticPr fontId="1"/>
  </si>
  <si>
    <t>Y:with</t>
    <phoneticPr fontId="1"/>
  </si>
  <si>
    <t>X:without</t>
    <phoneticPr fontId="1"/>
  </si>
  <si>
    <t>(0)</t>
    <phoneticPr fontId="1"/>
  </si>
  <si>
    <t>(1)</t>
    <phoneticPr fontId="1"/>
  </si>
  <si>
    <t>Judge</t>
    <phoneticPr fontId="1"/>
  </si>
  <si>
    <t>95%CI</t>
    <phoneticPr fontId="1"/>
  </si>
  <si>
    <t>95%CI+F.I</t>
    <phoneticPr fontId="1"/>
  </si>
  <si>
    <t>Judge</t>
    <phoneticPr fontId="1"/>
  </si>
  <si>
    <t>Ver. 017E 20131118配布</t>
    <rPh sb="18" eb="20">
      <t>ハイフ</t>
    </rPh>
    <phoneticPr fontId="1"/>
  </si>
  <si>
    <t>SLO-LA, SLR-LAについて負の値になったものは0とするように修正</t>
    <rPh sb="18" eb="19">
      <t>フ</t>
    </rPh>
    <rPh sb="20" eb="21">
      <t>アタイ</t>
    </rPh>
    <rPh sb="35" eb="37">
      <t>シュウセイ</t>
    </rPh>
    <phoneticPr fontId="1"/>
  </si>
  <si>
    <t>FInSLO-LAの95%信頼区間の下限&gt;=1およびFInSLO-LA&gt;=1.4かつFInSLO-LAの95%信頼区間の下限&gt;=1のクライテリアを追加し、judgeシートに3つのクライテリアでの判定を表示するよう修正</t>
    <rPh sb="13" eb="15">
      <t>シンライ</t>
    </rPh>
    <rPh sb="15" eb="17">
      <t>クカン</t>
    </rPh>
    <rPh sb="18" eb="20">
      <t>カゲン</t>
    </rPh>
    <rPh sb="73" eb="75">
      <t>ツイカ</t>
    </rPh>
    <rPh sb="97" eb="99">
      <t>ハンテイ</t>
    </rPh>
    <rPh sb="100" eb="102">
      <t>ヒョウジ</t>
    </rPh>
    <rPh sb="106" eb="108">
      <t>シュウセイ</t>
    </rPh>
    <phoneticPr fontId="1"/>
  </si>
  <si>
    <t>lower limit</t>
    <phoneticPr fontId="1"/>
  </si>
  <si>
    <t>upper limit</t>
    <phoneticPr fontId="1"/>
  </si>
  <si>
    <t>Ver. 017.1E 20131118配布</t>
    <rPh sb="20" eb="22">
      <t>ハイフ</t>
    </rPh>
    <phoneticPr fontId="1"/>
  </si>
  <si>
    <t>FaceSheetのchemical codeをPhaseIIcのコードに合わせ修正</t>
    <rPh sb="37" eb="38">
      <t>ア</t>
    </rPh>
    <rPh sb="40" eb="42">
      <t>シュウセイ</t>
    </rPh>
    <phoneticPr fontId="1"/>
  </si>
  <si>
    <t>Ver. 017.2E 20131119配布</t>
    <rPh sb="20" eb="22">
      <t>ハイフ</t>
    </rPh>
    <phoneticPr fontId="1"/>
  </si>
  <si>
    <t>Graphシート#W34と#W35を修正（等号を追加）</t>
    <rPh sb="18" eb="20">
      <t>シュウセイ</t>
    </rPh>
    <rPh sb="21" eb="23">
      <t>トウゴウ</t>
    </rPh>
    <rPh sb="24" eb="26">
      <t>ツイカ</t>
    </rPh>
    <phoneticPr fontId="1"/>
  </si>
  <si>
    <t>FInSLO-LAの95%信頼区間の計算方法を修正</t>
    <rPh sb="18" eb="20">
      <t>ケイサン</t>
    </rPh>
    <rPh sb="20" eb="22">
      <t>ホウホウ</t>
    </rPh>
    <rPh sb="23" eb="25">
      <t>シュウセイ</t>
    </rPh>
    <phoneticPr fontId="1"/>
  </si>
  <si>
    <t>FaceSheetのchemical codeをPhaseIIIのコードに合わせ修正</t>
    <rPh sb="37" eb="38">
      <t>ア</t>
    </rPh>
    <rPh sb="40" eb="42">
      <t>シュウセイ</t>
    </rPh>
    <phoneticPr fontId="1"/>
  </si>
  <si>
    <t>dilution</t>
    <phoneticPr fontId="1"/>
  </si>
  <si>
    <t>溶媒をX-VIVOに変更</t>
    <rPh sb="0" eb="2">
      <t>ヨウバイ</t>
    </rPh>
    <rPh sb="10" eb="12">
      <t>ヘンコウ</t>
    </rPh>
    <phoneticPr fontId="1"/>
  </si>
  <si>
    <t>dissolved</t>
    <phoneticPr fontId="1"/>
  </si>
  <si>
    <t>not_dissolved</t>
    <phoneticPr fontId="1"/>
  </si>
  <si>
    <t>in X-VIVO</t>
    <phoneticPr fontId="1"/>
  </si>
  <si>
    <t>1st</t>
    <phoneticPr fontId="1"/>
  </si>
  <si>
    <t>2nd,3rd,4th</t>
    <phoneticPr fontId="1"/>
  </si>
  <si>
    <t>Ver. 019E 20150401配布</t>
    <rPh sb="18" eb="20">
      <t>ハイフ</t>
    </rPh>
    <phoneticPr fontId="1"/>
  </si>
  <si>
    <t>Ver. 018E 20140320配布</t>
    <rPh sb="18" eb="20">
      <t>ハイフ</t>
    </rPh>
    <phoneticPr fontId="1"/>
  </si>
  <si>
    <t>化学物質がX-VIVOに溶解した場合、X-VIVOで1/5希釈するという変更に合わせ修正</t>
    <rPh sb="0" eb="2">
      <t>カガク</t>
    </rPh>
    <rPh sb="2" eb="4">
      <t>ブッシツ</t>
    </rPh>
    <rPh sb="12" eb="14">
      <t>ヨウカイ</t>
    </rPh>
    <rPh sb="16" eb="18">
      <t>バアイ</t>
    </rPh>
    <rPh sb="29" eb="31">
      <t>キシャク</t>
    </rPh>
    <rPh sb="36" eb="38">
      <t>ヘンコウ</t>
    </rPh>
    <rPh sb="39" eb="40">
      <t>ア</t>
    </rPh>
    <rPh sb="42" eb="44">
      <t>シュウセイ</t>
    </rPh>
    <phoneticPr fontId="1"/>
  </si>
  <si>
    <t>FaceSheetのchemical codeをPhaseIVのコードに合わせ修正</t>
    <rPh sb="36" eb="37">
      <t>ア</t>
    </rPh>
    <rPh sb="39" eb="41">
      <t>シュウセイ</t>
    </rPh>
    <phoneticPr fontId="1"/>
  </si>
  <si>
    <t>U</t>
    <phoneticPr fontId="1"/>
  </si>
  <si>
    <t>U2</t>
    <phoneticPr fontId="1"/>
  </si>
  <si>
    <t>Ver. 020.1E 20150706配布</t>
    <rPh sb="20" eb="22">
      <t>ハイフ</t>
    </rPh>
    <phoneticPr fontId="1"/>
  </si>
  <si>
    <t>95%信頼区間の算出方法を修正</t>
    <rPh sb="3" eb="7">
      <t>シンライクカン</t>
    </rPh>
    <rPh sb="8" eb="10">
      <t>サンシュツ</t>
    </rPh>
    <rPh sb="10" eb="12">
      <t>ホウホウ</t>
    </rPh>
    <rPh sb="13" eb="15">
      <t>シュウセイ</t>
    </rPh>
    <phoneticPr fontId="1"/>
  </si>
  <si>
    <t>Ver. 020E 20150617配布</t>
    <rPh sb="18" eb="20">
      <t>ハイフ</t>
    </rPh>
    <phoneticPr fontId="1"/>
  </si>
  <si>
    <t>SLO</t>
    <phoneticPr fontId="1"/>
  </si>
  <si>
    <t>Data using Filter</t>
    <phoneticPr fontId="1"/>
  </si>
  <si>
    <t>TF</t>
    <phoneticPr fontId="1"/>
  </si>
  <si>
    <t>Filter</t>
    <phoneticPr fontId="1"/>
  </si>
  <si>
    <t>Filter Data</t>
    <phoneticPr fontId="1"/>
  </si>
  <si>
    <t>T</t>
    <phoneticPr fontId="1"/>
  </si>
  <si>
    <t>Filter</t>
    <phoneticPr fontId="1"/>
  </si>
  <si>
    <t>Filter Data</t>
    <phoneticPr fontId="1"/>
  </si>
  <si>
    <t>F</t>
    <phoneticPr fontId="1"/>
  </si>
  <si>
    <t>4NBB 1/32 or LA 1/40</t>
    <phoneticPr fontId="1"/>
  </si>
  <si>
    <t>4NBB 1/8 or LA 1/10</t>
    <phoneticPr fontId="1"/>
  </si>
  <si>
    <t>4NBB 1/16 or LA 1/20</t>
    <phoneticPr fontId="1"/>
  </si>
  <si>
    <t>Positive control (4-NBB)</t>
    <phoneticPr fontId="1"/>
  </si>
  <si>
    <t>Negative control (Lactic acid)</t>
    <phoneticPr fontId="1"/>
  </si>
  <si>
    <t>Ver. 021E 20170220</t>
    <phoneticPr fontId="1"/>
  </si>
  <si>
    <t>陽性コントロールと陰性コントロールを4-NBB, Lactic acidに変更</t>
    <rPh sb="0" eb="2">
      <t>ヨウセ</t>
    </rPh>
    <rPh sb="9" eb="11">
      <t>インセ</t>
    </rPh>
    <rPh sb="37" eb="39">
      <t>ヘン</t>
    </rPh>
    <phoneticPr fontId="1"/>
  </si>
  <si>
    <t>各シートに保護</t>
    <rPh sb="0" eb="1">
      <t>カク</t>
    </rPh>
    <rPh sb="5" eb="7">
      <t>ホゴ</t>
    </rPh>
    <phoneticPr fontId="1"/>
  </si>
  <si>
    <t>Display the judge, "sensitizer" or "non-sensitizer".</t>
    <phoneticPr fontId="1"/>
  </si>
  <si>
    <t>Protect the sheets.</t>
    <phoneticPr fontId="1"/>
  </si>
  <si>
    <t>Add the face sheet.</t>
    <phoneticPr fontId="1"/>
  </si>
  <si>
    <t>Add graphs of Inhibition index of SLR-LA, FInSLO-LA and Inhibition index.</t>
    <phoneticPr fontId="1"/>
  </si>
  <si>
    <t>Ver.002 20111011 distribution</t>
    <phoneticPr fontId="1"/>
  </si>
  <si>
    <t>Change the Data Input sheet.</t>
    <phoneticPr fontId="1"/>
  </si>
  <si>
    <t>Ver.004 20111014 distribution</t>
    <phoneticPr fontId="1"/>
  </si>
  <si>
    <t>Simplified the calculation of Inhibition index.</t>
    <phoneticPr fontId="1"/>
  </si>
  <si>
    <t>Change "sensitizer" or "non-sensitizer" to "positive" or "negative", respectively.</t>
    <phoneticPr fontId="1"/>
  </si>
  <si>
    <t>Change the unit of I.I., % to ratio.</t>
    <phoneticPr fontId="1"/>
  </si>
  <si>
    <t xml:space="preserve">Change the number of decimal places of the concentration of chemicals. </t>
    <phoneticPr fontId="1"/>
  </si>
  <si>
    <t xml:space="preserve">Change the number of decimal places of the results. </t>
    <phoneticPr fontId="1"/>
  </si>
  <si>
    <t>Protect the sheets.</t>
    <phoneticPr fontId="1"/>
  </si>
  <si>
    <t>Correct the error.</t>
    <phoneticPr fontId="1"/>
  </si>
  <si>
    <t>Ver.006 20111027 distribution</t>
    <phoneticPr fontId="1"/>
  </si>
  <si>
    <t>Ver.007 20111101 distribution</t>
    <phoneticPr fontId="1"/>
  </si>
  <si>
    <t>Add a sheet for LPS.</t>
    <phoneticPr fontId="1"/>
  </si>
  <si>
    <t>Ver.008,009 20111130 modification</t>
    <phoneticPr fontId="1"/>
  </si>
  <si>
    <t>Ver.010 20111205 modification</t>
    <phoneticPr fontId="1"/>
  </si>
  <si>
    <t>Ver.011E 20120605 modification</t>
    <phoneticPr fontId="1"/>
  </si>
  <si>
    <t>Ver.012.1E 20120710 modification</t>
    <phoneticPr fontId="1"/>
  </si>
  <si>
    <t>Ver.012.3E 20120718 modification</t>
    <phoneticPr fontId="1"/>
  </si>
  <si>
    <t>Ver.013.1E 20120725 modification</t>
    <phoneticPr fontId="1"/>
  </si>
  <si>
    <t>Ver.013.2E 20120730 modification</t>
    <phoneticPr fontId="1"/>
  </si>
  <si>
    <t>Ver.013.3E 20120801 modification</t>
    <phoneticPr fontId="1"/>
  </si>
  <si>
    <t>Ver.014E 201210 modification</t>
    <phoneticPr fontId="1"/>
  </si>
  <si>
    <t>Ver. 0--E 20131007 modification</t>
    <phoneticPr fontId="1"/>
  </si>
  <si>
    <t>Ver. 0--E 20131107 modification</t>
    <phoneticPr fontId="1"/>
  </si>
  <si>
    <t>Ver. 021E 20170220 modification</t>
    <phoneticPr fontId="1"/>
  </si>
  <si>
    <t>Add sheets "Control" and "Transmittance".</t>
    <phoneticPr fontId="1"/>
  </si>
  <si>
    <t>Remove the protect of Data Input sheet.</t>
    <phoneticPr fontId="1"/>
  </si>
  <si>
    <t>English translation</t>
    <phoneticPr fontId="1"/>
  </si>
  <si>
    <t>Add a sheet for Cobalt chloride.</t>
    <phoneticPr fontId="1"/>
  </si>
  <si>
    <t>Modify the LPS sheet.</t>
    <phoneticPr fontId="1"/>
  </si>
  <si>
    <t>Remove the condition concern to I.I.-SLR from criteria.</t>
    <phoneticPr fontId="1"/>
  </si>
  <si>
    <t>Modify "ResultFormat" sheet for 2nd-4th experiments.</t>
    <phoneticPr fontId="1"/>
  </si>
  <si>
    <t>Modify "ResultFormat" sheet due to change of plate arrangement.</t>
    <phoneticPr fontId="1"/>
  </si>
  <si>
    <t>Add "LED" sheet.</t>
    <phoneticPr fontId="1"/>
  </si>
  <si>
    <t>Modify "FaceSheet" sheet.</t>
    <phoneticPr fontId="1"/>
  </si>
  <si>
    <t>Change the concentration of cobalt chloride.</t>
    <phoneticPr fontId="1"/>
  </si>
  <si>
    <t>Modify "Graph" sheet.</t>
    <phoneticPr fontId="1"/>
  </si>
  <si>
    <t>Ver.005 20111020 distribution</t>
    <phoneticPr fontId="1"/>
  </si>
  <si>
    <t>Change "LPS", "cobalt chloride" sheet.</t>
    <phoneticPr fontId="1"/>
  </si>
  <si>
    <t>Reduce the size of graphs.</t>
    <phoneticPr fontId="1"/>
  </si>
  <si>
    <t>Modify "cobalt chloride" sheet</t>
    <phoneticPr fontId="1"/>
  </si>
  <si>
    <t>Ver.012.2E 20120716 distribution</t>
    <phoneticPr fontId="1"/>
  </si>
  <si>
    <t>Ver.013E 20120719 distribution</t>
    <phoneticPr fontId="1"/>
  </si>
  <si>
    <t>Ver. 017E 20131118 distribution</t>
    <phoneticPr fontId="1"/>
  </si>
  <si>
    <t>Ver. 017.1E 20131118 distribution</t>
    <phoneticPr fontId="1"/>
  </si>
  <si>
    <t>Ver. 017.2E 20131119 distribution</t>
    <phoneticPr fontId="1"/>
  </si>
  <si>
    <t>Ver. 018E 20140320 distribution</t>
    <phoneticPr fontId="1"/>
  </si>
  <si>
    <t>Ver. 019E 20150401 distribution</t>
    <phoneticPr fontId="1"/>
  </si>
  <si>
    <t>Ver. 020E 20150617 distribution</t>
    <phoneticPr fontId="1"/>
  </si>
  <si>
    <t>Ver. 020.1E 20150706 distribution</t>
    <phoneticPr fontId="1"/>
  </si>
  <si>
    <t>Change the chemical code of "FaceSheet".</t>
    <phoneticPr fontId="1"/>
  </si>
  <si>
    <t>Change vehicle to X-VIVO</t>
    <phoneticPr fontId="1"/>
  </si>
  <si>
    <t>Modify "ResultFormat".</t>
    <phoneticPr fontId="1"/>
  </si>
  <si>
    <t>Modify "FaceSheet". (Round No.)</t>
    <phoneticPr fontId="1"/>
  </si>
  <si>
    <t>Modify "FaceSheet". (chemical concentration)</t>
    <phoneticPr fontId="1"/>
  </si>
  <si>
    <t>Modify the calculation for the 95% confidence interval.</t>
    <phoneticPr fontId="1"/>
  </si>
  <si>
    <t>Modify the calculation for the 95% confidence interval. (FInSLO-LA)</t>
    <phoneticPr fontId="1"/>
  </si>
  <si>
    <t>Delete the description concern to NAC.</t>
    <phoneticPr fontId="1"/>
  </si>
  <si>
    <t>Delete the description concern to LPS.</t>
    <phoneticPr fontId="1"/>
  </si>
  <si>
    <t xml:space="preserve">Change positive control and negative control to 4-NBB and Lactic acid, respectively.  </t>
    <phoneticPr fontId="1"/>
  </si>
  <si>
    <t>Change the preperation of chemicals.</t>
    <phoneticPr fontId="1"/>
  </si>
  <si>
    <t>Add Criteria 2 and 3.</t>
    <phoneticPr fontId="1"/>
  </si>
  <si>
    <t>Add the condition, "I.I.-SLR-LA&gt;=0.05" to criteria.</t>
    <phoneticPr fontId="1"/>
  </si>
  <si>
    <t>Modify "FaceSheet". (#I17)</t>
    <phoneticPr fontId="1"/>
  </si>
  <si>
    <t>Modify "ResultFormat" and "Graph" sheets.</t>
    <phoneticPr fontId="1"/>
  </si>
  <si>
    <t xml:space="preserve">Modify "FaceSheet" sheet. </t>
    <phoneticPr fontId="1"/>
  </si>
  <si>
    <t xml:space="preserve">Modify "Control" sheet. </t>
    <phoneticPr fontId="1"/>
  </si>
  <si>
    <t>nIL8LA</t>
    <phoneticPr fontId="1"/>
  </si>
  <si>
    <t>Ind-IL8LA</t>
    <phoneticPr fontId="1"/>
  </si>
  <si>
    <t>Inh-GAPLA</t>
    <phoneticPr fontId="1"/>
  </si>
  <si>
    <t>Inh-GAPLA</t>
    <phoneticPr fontId="1"/>
  </si>
  <si>
    <t>IL8LA</t>
    <phoneticPr fontId="1"/>
  </si>
  <si>
    <t>IL8LA mod</t>
    <phoneticPr fontId="1"/>
  </si>
  <si>
    <t>GAPLA</t>
    <phoneticPr fontId="1"/>
  </si>
  <si>
    <t>GAPLA mod</t>
    <phoneticPr fontId="1"/>
  </si>
  <si>
    <t>Ver. 021.1</t>
    <phoneticPr fontId="12"/>
  </si>
  <si>
    <t>Ind-IL8LA</t>
    <phoneticPr fontId="1"/>
  </si>
  <si>
    <t>Ind-IL8LA</t>
    <phoneticPr fontId="1"/>
  </si>
  <si>
    <t>95%+Ind-IL8LA</t>
    <phoneticPr fontId="1"/>
  </si>
  <si>
    <t>IL8LA</t>
    <phoneticPr fontId="1"/>
  </si>
  <si>
    <t>GAPLA</t>
    <phoneticPr fontId="1"/>
  </si>
  <si>
    <t>nIL8LA</t>
    <phoneticPr fontId="1"/>
  </si>
  <si>
    <t>Ind-IL8LA</t>
    <phoneticPr fontId="1"/>
  </si>
  <si>
    <t>Inh-GAPLA</t>
    <phoneticPr fontId="1"/>
  </si>
  <si>
    <t>Ver. 021.1E 20170227</t>
    <phoneticPr fontId="1"/>
  </si>
  <si>
    <t>パラメーターの名称を変更</t>
    <rPh sb="7" eb="9">
      <t>メ</t>
    </rPh>
    <rPh sb="10" eb="12">
      <t>ヘn</t>
    </rPh>
    <phoneticPr fontId="1"/>
  </si>
  <si>
    <t>Ver. 021.1E 20170227 modification</t>
    <phoneticPr fontId="1"/>
  </si>
  <si>
    <t xml:space="preserve">Change the name of the parameters.  </t>
    <phoneticPr fontId="1"/>
  </si>
  <si>
    <r>
      <t>MultiReporter Assay System -Tripluc</t>
    </r>
    <r>
      <rPr>
        <b/>
        <vertAlign val="superscript"/>
        <sz val="10"/>
        <color indexed="12"/>
        <rFont val="Arial"/>
        <family val="2"/>
      </rPr>
      <t>®</t>
    </r>
    <r>
      <rPr>
        <b/>
        <sz val="10"/>
        <color indexed="12"/>
        <rFont val="Arial"/>
        <family val="2"/>
      </rPr>
      <t>- Calculation Sheet</t>
    </r>
    <phoneticPr fontId="1"/>
  </si>
  <si>
    <r>
      <rPr>
        <sz val="10"/>
        <color indexed="8"/>
        <rFont val="HGP創英角ｺﾞｼｯｸUB"/>
        <family val="3"/>
        <charset val="128"/>
      </rPr>
      <t>平均</t>
    </r>
    <rPh sb="0" eb="2">
      <t>ヘイキン</t>
    </rPh>
    <phoneticPr fontId="1"/>
  </si>
  <si>
    <r>
      <t>Ver.001 20110929 distribution (as "</t>
    </r>
    <r>
      <rPr>
        <sz val="10"/>
        <rFont val="ＭＳ ゴシック"/>
        <family val="3"/>
        <charset val="128"/>
      </rPr>
      <t>施設間試験グラフひな形</t>
    </r>
    <r>
      <rPr>
        <sz val="10"/>
        <rFont val="Arial"/>
        <family val="2"/>
      </rPr>
      <t>20110922.xls"</t>
    </r>
    <r>
      <rPr>
        <sz val="10"/>
        <rFont val="ＭＳ ゴシック"/>
        <family val="3"/>
        <charset val="128"/>
      </rPr>
      <t>）</t>
    </r>
    <rPh sb="35" eb="37">
      <t>シセツ</t>
    </rPh>
    <rPh sb="37" eb="38">
      <t>カン</t>
    </rPh>
    <rPh sb="38" eb="40">
      <t>シケン</t>
    </rPh>
    <rPh sb="45" eb="46">
      <t>ガタ</t>
    </rPh>
    <phoneticPr fontId="1"/>
  </si>
  <si>
    <t>Ver. 022E 20230818 modification</t>
    <phoneticPr fontId="1"/>
  </si>
  <si>
    <t xml:space="preserve">Change the fonts.  </t>
    <phoneticPr fontId="1"/>
  </si>
  <si>
    <t>Ver. 022E 20230818</t>
    <phoneticPr fontId="1"/>
  </si>
  <si>
    <t>フォントを変更</t>
    <rPh sb="5" eb="7">
      <t>ヘn</t>
    </rPh>
    <phoneticPr fontId="1"/>
  </si>
  <si>
    <t>IL-8 Luc Assay Calculation Sheet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</si>
</sst>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76" formatCode="0_);[Red]\(0\)"/>
    <numFmt numFmtId="177" formatCode="0.000_);[Red]\(0.000\)"/>
    <numFmt numFmtId="178" formatCode="0.00_);[Red]\(0.00\)"/>
    <numFmt numFmtId="179" formatCode="0_ "/>
    <numFmt numFmtId="180" formatCode="0.00_ "/>
    <numFmt numFmtId="181" formatCode="0.000_ "/>
    <numFmt numFmtId="182" formatCode="0.0_ "/>
    <numFmt numFmtId="183" formatCode="#,##0_ "/>
    <numFmt numFmtId="184" formatCode="0.0"/>
    <numFmt numFmtId="185" formatCode="#\ ???/???"/>
    <numFmt numFmtId="186" formatCode="#\ ??/????"/>
    <numFmt numFmtId="187" formatCode="#\ ????/????"/>
    <numFmt numFmtId="188" formatCode="#\ ?????/?????"/>
    <numFmt numFmtId="189" formatCode="#\ ???/?????"/>
    <numFmt numFmtId="190" formatCode="#\ ?/????"/>
    <numFmt numFmtId="191" formatCode="#\ ???/????"/>
    <numFmt numFmtId="192" formatCode="#\ ???/??????"/>
  </numFmts>
  <fonts count="46"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0"/>
      <name val="Arial"/>
      <family val="2"/>
    </font>
    <font>
      <b/>
      <sz val="10"/>
      <color indexed="12"/>
      <name val="Arial"/>
      <family val="2"/>
    </font>
    <font>
      <sz val="10"/>
      <name val="HGP創英角ｺﾞｼｯｸUB"/>
      <family val="3"/>
      <charset val="128"/>
    </font>
    <font>
      <sz val="10"/>
      <color indexed="8"/>
      <name val="HGP創英角ｺﾞｼｯｸUB"/>
      <family val="3"/>
      <charset val="128"/>
    </font>
    <font>
      <sz val="10"/>
      <color indexed="12"/>
      <name val="HGP創英角ｺﾞｼｯｸUB"/>
      <family val="3"/>
      <charset val="128"/>
    </font>
    <font>
      <b/>
      <sz val="10"/>
      <color indexed="53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20"/>
      <name val="Arial"/>
      <family val="2"/>
    </font>
    <font>
      <sz val="6"/>
      <name val="ＭＳ Ｐゴシック"/>
      <family val="3"/>
      <charset val="128"/>
    </font>
    <font>
      <b/>
      <sz val="8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4"/>
      <name val="Arial"/>
      <family val="2"/>
    </font>
    <font>
      <vertAlign val="subscript"/>
      <sz val="10"/>
      <name val="ＭＳ ゴシック"/>
      <family val="3"/>
      <charset val="128"/>
    </font>
    <font>
      <sz val="10"/>
      <color theme="0"/>
      <name val="Arial"/>
      <family val="2"/>
    </font>
    <font>
      <sz val="10"/>
      <color theme="0"/>
      <name val="HGP創英角ｺﾞｼｯｸUB"/>
      <family val="3"/>
      <charset val="128"/>
    </font>
    <font>
      <sz val="10"/>
      <color theme="0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ＭＳ 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theme="1"/>
      <name val="Arial"/>
      <family val="2"/>
    </font>
    <font>
      <sz val="10"/>
      <color theme="1"/>
      <name val="ＭＳ ゴシック"/>
      <family val="3"/>
      <charset val="128"/>
    </font>
    <font>
      <sz val="10"/>
      <color theme="1"/>
      <name val="HGP創英角ｺﾞｼｯｸUB"/>
      <family val="3"/>
      <charset val="128"/>
    </font>
    <font>
      <u/>
      <sz val="10"/>
      <color theme="10"/>
      <name val="ＭＳ ゴシック"/>
      <family val="3"/>
      <charset val="128"/>
    </font>
    <font>
      <u/>
      <sz val="10"/>
      <color theme="11"/>
      <name val="ＭＳ ゴシック"/>
      <family val="3"/>
      <charset val="128"/>
    </font>
    <font>
      <b/>
      <sz val="12"/>
      <color rgb="FFFF0000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</font>
    <font>
      <b/>
      <vertAlign val="superscript"/>
      <sz val="10"/>
      <color indexed="12"/>
      <name val="Arial"/>
      <family val="2"/>
    </font>
    <font>
      <b/>
      <sz val="10"/>
      <color indexed="52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sz val="22"/>
      <name val="Arial"/>
      <family val="2"/>
    </font>
    <font>
      <sz val="22"/>
      <color theme="0"/>
      <name val="Arial"/>
      <family val="2"/>
    </font>
    <font>
      <b/>
      <sz val="10"/>
      <color indexed="51"/>
      <name val="Arial"/>
      <family val="2"/>
    </font>
    <font>
      <b/>
      <sz val="11"/>
      <color indexed="10"/>
      <name val="Arial"/>
      <family val="2"/>
    </font>
    <font>
      <sz val="10"/>
      <color theme="0" tint="-0.249977111117893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CCC"/>
        <bgColor indexed="64"/>
      </patternFill>
    </fill>
  </fills>
  <borders count="91">
    <border>
      <left/>
      <right/>
      <top/>
      <bottom/>
      <diagonal/>
    </border>
    <border>
      <left style="medium">
        <color indexed="18"/>
      </left>
      <right/>
      <top style="medium">
        <color indexed="18"/>
      </top>
      <bottom/>
      <diagonal/>
    </border>
    <border>
      <left/>
      <right style="medium">
        <color indexed="18"/>
      </right>
      <top style="medium">
        <color indexed="18"/>
      </top>
      <bottom/>
      <diagonal/>
    </border>
    <border>
      <left style="medium">
        <color indexed="18"/>
      </left>
      <right/>
      <top/>
      <bottom style="medium">
        <color indexed="18"/>
      </bottom>
      <diagonal/>
    </border>
    <border>
      <left/>
      <right style="medium">
        <color indexed="18"/>
      </right>
      <top/>
      <bottom style="medium">
        <color indexed="1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12"/>
      </left>
      <right/>
      <top style="medium">
        <color indexed="12"/>
      </top>
      <bottom/>
      <diagonal/>
    </border>
    <border>
      <left/>
      <right style="medium">
        <color indexed="12"/>
      </right>
      <top style="medium">
        <color indexed="12"/>
      </top>
      <bottom/>
      <diagonal/>
    </border>
    <border>
      <left style="medium">
        <color indexed="12"/>
      </left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/>
      <right style="thin">
        <color auto="1"/>
      </right>
      <top style="thin">
        <color auto="1"/>
      </top>
      <bottom style="medium">
        <color indexed="12"/>
      </bottom>
      <diagonal/>
    </border>
    <border>
      <left style="thick">
        <color indexed="17"/>
      </left>
      <right/>
      <top style="thick">
        <color indexed="17"/>
      </top>
      <bottom/>
      <diagonal/>
    </border>
    <border>
      <left/>
      <right/>
      <top style="thick">
        <color indexed="17"/>
      </top>
      <bottom/>
      <diagonal/>
    </border>
    <border>
      <left/>
      <right style="thick">
        <color indexed="17"/>
      </right>
      <top style="thick">
        <color indexed="17"/>
      </top>
      <bottom/>
      <diagonal/>
    </border>
    <border>
      <left style="thick">
        <color indexed="17"/>
      </left>
      <right/>
      <top/>
      <bottom/>
      <diagonal/>
    </border>
    <border>
      <left/>
      <right style="thick">
        <color indexed="17"/>
      </right>
      <top/>
      <bottom/>
      <diagonal/>
    </border>
    <border>
      <left style="thick">
        <color indexed="17"/>
      </left>
      <right/>
      <top/>
      <bottom style="thick">
        <color indexed="17"/>
      </bottom>
      <diagonal/>
    </border>
    <border>
      <left/>
      <right/>
      <top/>
      <bottom style="thick">
        <color indexed="17"/>
      </bottom>
      <diagonal/>
    </border>
    <border>
      <left/>
      <right style="thick">
        <color indexed="17"/>
      </right>
      <top/>
      <bottom style="thick">
        <color indexed="17"/>
      </bottom>
      <diagonal/>
    </border>
    <border>
      <left style="medium">
        <color indexed="10"/>
      </left>
      <right/>
      <top style="medium">
        <color indexed="10"/>
      </top>
      <bottom/>
      <diagonal/>
    </border>
    <border>
      <left/>
      <right/>
      <top style="medium">
        <color indexed="10"/>
      </top>
      <bottom/>
      <diagonal/>
    </border>
    <border>
      <left/>
      <right style="medium">
        <color indexed="10"/>
      </right>
      <top style="medium">
        <color indexed="10"/>
      </top>
      <bottom/>
      <diagonal/>
    </border>
    <border>
      <left style="medium">
        <color indexed="10"/>
      </left>
      <right/>
      <top/>
      <bottom/>
      <diagonal/>
    </border>
    <border>
      <left/>
      <right style="medium">
        <color indexed="10"/>
      </right>
      <top/>
      <bottom/>
      <diagonal/>
    </border>
    <border>
      <left style="medium">
        <color indexed="10"/>
      </left>
      <right/>
      <top/>
      <bottom style="medium">
        <color indexed="10"/>
      </bottom>
      <diagonal/>
    </border>
    <border>
      <left/>
      <right/>
      <top/>
      <bottom style="medium">
        <color indexed="10"/>
      </bottom>
      <diagonal/>
    </border>
    <border>
      <left/>
      <right style="medium">
        <color indexed="10"/>
      </right>
      <top/>
      <bottom style="medium">
        <color indexed="10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thick">
        <color indexed="53"/>
      </left>
      <right/>
      <top style="thick">
        <color indexed="53"/>
      </top>
      <bottom/>
      <diagonal/>
    </border>
    <border>
      <left/>
      <right/>
      <top style="thick">
        <color indexed="53"/>
      </top>
      <bottom/>
      <diagonal/>
    </border>
    <border>
      <left/>
      <right style="thick">
        <color indexed="53"/>
      </right>
      <top style="thick">
        <color indexed="53"/>
      </top>
      <bottom/>
      <diagonal/>
    </border>
    <border>
      <left style="thick">
        <color indexed="53"/>
      </left>
      <right/>
      <top style="thin">
        <color auto="1"/>
      </top>
      <bottom/>
      <diagonal/>
    </border>
    <border>
      <left/>
      <right style="thick">
        <color indexed="53"/>
      </right>
      <top style="thin">
        <color auto="1"/>
      </top>
      <bottom/>
      <diagonal/>
    </border>
    <border>
      <left style="thick">
        <color indexed="53"/>
      </left>
      <right/>
      <top style="thin">
        <color auto="1"/>
      </top>
      <bottom style="thick">
        <color indexed="53"/>
      </bottom>
      <diagonal/>
    </border>
    <border>
      <left/>
      <right/>
      <top style="thin">
        <color auto="1"/>
      </top>
      <bottom style="thick">
        <color indexed="53"/>
      </bottom>
      <diagonal/>
    </border>
    <border>
      <left/>
      <right style="thick">
        <color indexed="53"/>
      </right>
      <top style="thin">
        <color auto="1"/>
      </top>
      <bottom style="thick">
        <color indexed="53"/>
      </bottom>
      <diagonal/>
    </border>
    <border>
      <left style="thick">
        <color indexed="10"/>
      </left>
      <right/>
      <top style="thick">
        <color indexed="10"/>
      </top>
      <bottom style="thin">
        <color auto="1"/>
      </bottom>
      <diagonal/>
    </border>
    <border>
      <left/>
      <right/>
      <top style="thick">
        <color indexed="10"/>
      </top>
      <bottom style="thin">
        <color auto="1"/>
      </bottom>
      <diagonal/>
    </border>
    <border>
      <left/>
      <right style="thick">
        <color indexed="10"/>
      </right>
      <top style="thick">
        <color indexed="10"/>
      </top>
      <bottom style="thin">
        <color auto="1"/>
      </bottom>
      <diagonal/>
    </border>
    <border>
      <left style="thick">
        <color indexed="10"/>
      </left>
      <right/>
      <top/>
      <bottom style="thin">
        <color auto="1"/>
      </bottom>
      <diagonal/>
    </border>
    <border>
      <left/>
      <right style="thick">
        <color indexed="10"/>
      </right>
      <top/>
      <bottom style="thin">
        <color auto="1"/>
      </bottom>
      <diagonal/>
    </border>
    <border>
      <left style="thick">
        <color indexed="10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indexed="10"/>
      </right>
      <top style="thin">
        <color auto="1"/>
      </top>
      <bottom style="thin">
        <color auto="1"/>
      </bottom>
      <diagonal/>
    </border>
    <border>
      <left style="thick">
        <color indexed="10"/>
      </left>
      <right/>
      <top style="thin">
        <color auto="1"/>
      </top>
      <bottom style="thick">
        <color indexed="10"/>
      </bottom>
      <diagonal/>
    </border>
    <border>
      <left/>
      <right/>
      <top style="thin">
        <color auto="1"/>
      </top>
      <bottom style="thick">
        <color indexed="10"/>
      </bottom>
      <diagonal/>
    </border>
    <border>
      <left/>
      <right style="thick">
        <color indexed="10"/>
      </right>
      <top style="thin">
        <color auto="1"/>
      </top>
      <bottom style="thick">
        <color indexed="1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indexed="12"/>
      </right>
      <top style="thin">
        <color auto="1"/>
      </top>
      <bottom/>
      <diagonal/>
    </border>
    <border>
      <left style="thin">
        <color auto="1"/>
      </left>
      <right style="medium">
        <color indexed="12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rgb="FFFF0000"/>
      </left>
      <right/>
      <top style="thick">
        <color rgb="FFFF0000"/>
      </top>
      <bottom style="thin">
        <color auto="1"/>
      </bottom>
      <diagonal/>
    </border>
    <border>
      <left/>
      <right/>
      <top style="thick">
        <color rgb="FFFF0000"/>
      </top>
      <bottom style="thin">
        <color auto="1"/>
      </bottom>
      <diagonal/>
    </border>
    <border>
      <left/>
      <right style="thick">
        <color rgb="FFFF0000"/>
      </right>
      <top style="thick">
        <color rgb="FFFF0000"/>
      </top>
      <bottom style="thin">
        <color auto="1"/>
      </bottom>
      <diagonal/>
    </border>
    <border>
      <left style="thick">
        <color rgb="FFFF0000"/>
      </left>
      <right/>
      <top style="thin">
        <color auto="1"/>
      </top>
      <bottom style="thin">
        <color auto="1"/>
      </bottom>
      <diagonal/>
    </border>
    <border>
      <left/>
      <right style="thick">
        <color rgb="FFFF0000"/>
      </right>
      <top style="thin">
        <color auto="1"/>
      </top>
      <bottom style="thin">
        <color auto="1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</borders>
  <cellStyleXfs count="50">
    <xf numFmtId="0" fontId="0" fillId="0" borderId="0">
      <alignment vertical="center"/>
    </xf>
    <xf numFmtId="9" fontId="26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</cellStyleXfs>
  <cellXfs count="31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10" fillId="0" borderId="32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0" fillId="0" borderId="33" xfId="0" applyFont="1" applyBorder="1">
      <alignment vertical="center"/>
    </xf>
    <xf numFmtId="181" fontId="4" fillId="0" borderId="0" xfId="0" applyNumberFormat="1" applyFont="1">
      <alignment vertical="center"/>
    </xf>
    <xf numFmtId="176" fontId="4" fillId="0" borderId="0" xfId="0" applyNumberFormat="1" applyFont="1">
      <alignment vertical="center"/>
    </xf>
    <xf numFmtId="0" fontId="19" fillId="0" borderId="0" xfId="0" applyFont="1">
      <alignment vertical="center"/>
    </xf>
    <xf numFmtId="0" fontId="17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184" fontId="19" fillId="0" borderId="0" xfId="0" applyNumberFormat="1" applyFont="1">
      <alignment vertical="center"/>
    </xf>
    <xf numFmtId="0" fontId="15" fillId="0" borderId="0" xfId="0" applyFont="1" applyAlignment="1" applyProtection="1">
      <alignment horizontal="center" vertical="center"/>
      <protection locked="0"/>
    </xf>
    <xf numFmtId="0" fontId="23" fillId="0" borderId="0" xfId="0" applyFont="1">
      <alignment vertical="center"/>
    </xf>
    <xf numFmtId="0" fontId="0" fillId="13" borderId="0" xfId="0" applyFill="1">
      <alignment vertical="center"/>
    </xf>
    <xf numFmtId="177" fontId="4" fillId="0" borderId="79" xfId="0" applyNumberFormat="1" applyFont="1" applyBorder="1">
      <alignment vertical="center"/>
    </xf>
    <xf numFmtId="181" fontId="0" fillId="13" borderId="0" xfId="0" applyNumberFormat="1" applyFill="1">
      <alignment vertical="center"/>
    </xf>
    <xf numFmtId="0" fontId="0" fillId="14" borderId="0" xfId="0" applyFill="1">
      <alignment vertical="center"/>
    </xf>
    <xf numFmtId="181" fontId="0" fillId="14" borderId="0" xfId="0" applyNumberFormat="1" applyFill="1">
      <alignment vertical="center"/>
    </xf>
    <xf numFmtId="181" fontId="4" fillId="0" borderId="81" xfId="0" applyNumberFormat="1" applyFont="1" applyBorder="1">
      <alignment vertical="center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185" fontId="19" fillId="0" borderId="0" xfId="0" applyNumberFormat="1" applyFont="1" applyAlignment="1">
      <alignment horizontal="center" vertical="center"/>
    </xf>
    <xf numFmtId="185" fontId="19" fillId="0" borderId="0" xfId="1" applyNumberFormat="1" applyFont="1" applyAlignment="1">
      <alignment horizontal="center" vertical="center"/>
    </xf>
    <xf numFmtId="0" fontId="30" fillId="0" borderId="0" xfId="0" applyFont="1">
      <alignment vertical="center"/>
    </xf>
    <xf numFmtId="191" fontId="19" fillId="0" borderId="0" xfId="0" applyNumberFormat="1" applyFont="1" applyAlignment="1">
      <alignment horizontal="center" vertical="center"/>
    </xf>
    <xf numFmtId="0" fontId="33" fillId="0" borderId="5" xfId="0" applyFont="1" applyBorder="1" applyAlignment="1">
      <alignment horizontal="right" vertical="center"/>
    </xf>
    <xf numFmtId="0" fontId="34" fillId="0" borderId="10" xfId="0" applyFont="1" applyBorder="1" applyAlignment="1">
      <alignment horizontal="right" vertical="center"/>
    </xf>
    <xf numFmtId="0" fontId="3" fillId="0" borderId="0" xfId="0" applyFont="1">
      <alignment vertical="center"/>
    </xf>
    <xf numFmtId="0" fontId="9" fillId="0" borderId="7" xfId="0" applyFont="1" applyBorder="1">
      <alignment vertical="center"/>
    </xf>
    <xf numFmtId="0" fontId="16" fillId="0" borderId="6" xfId="0" applyFont="1" applyBorder="1" applyAlignment="1">
      <alignment horizontal="center" vertical="center"/>
    </xf>
    <xf numFmtId="0" fontId="9" fillId="5" borderId="40" xfId="0" applyFont="1" applyFill="1" applyBorder="1">
      <alignment vertical="center"/>
    </xf>
    <xf numFmtId="0" fontId="9" fillId="5" borderId="41" xfId="0" applyFont="1" applyFill="1" applyBorder="1">
      <alignment vertical="center"/>
    </xf>
    <xf numFmtId="0" fontId="9" fillId="3" borderId="16" xfId="0" applyFont="1" applyFill="1" applyBorder="1">
      <alignment vertical="center"/>
    </xf>
    <xf numFmtId="0" fontId="9" fillId="3" borderId="17" xfId="0" applyFont="1" applyFill="1" applyBorder="1">
      <alignment vertical="center"/>
    </xf>
    <xf numFmtId="0" fontId="9" fillId="3" borderId="18" xfId="0" applyFont="1" applyFill="1" applyBorder="1">
      <alignment vertical="center"/>
    </xf>
    <xf numFmtId="0" fontId="9" fillId="3" borderId="19" xfId="0" applyFont="1" applyFill="1" applyBorder="1">
      <alignment vertical="center"/>
    </xf>
    <xf numFmtId="0" fontId="9" fillId="3" borderId="0" xfId="0" applyFont="1" applyFill="1">
      <alignment vertical="center"/>
    </xf>
    <xf numFmtId="0" fontId="9" fillId="3" borderId="20" xfId="0" applyFont="1" applyFill="1" applyBorder="1">
      <alignment vertical="center"/>
    </xf>
    <xf numFmtId="0" fontId="9" fillId="3" borderId="21" xfId="0" applyFont="1" applyFill="1" applyBorder="1">
      <alignment vertical="center"/>
    </xf>
    <xf numFmtId="0" fontId="9" fillId="3" borderId="22" xfId="0" applyFont="1" applyFill="1" applyBorder="1">
      <alignment vertical="center"/>
    </xf>
    <xf numFmtId="0" fontId="9" fillId="3" borderId="23" xfId="0" applyFont="1" applyFill="1" applyBorder="1">
      <alignment vertical="center"/>
    </xf>
    <xf numFmtId="0" fontId="9" fillId="4" borderId="24" xfId="0" applyFont="1" applyFill="1" applyBorder="1">
      <alignment vertical="center"/>
    </xf>
    <xf numFmtId="0" fontId="9" fillId="4" borderId="25" xfId="0" applyFont="1" applyFill="1" applyBorder="1">
      <alignment vertical="center"/>
    </xf>
    <xf numFmtId="0" fontId="9" fillId="4" borderId="26" xfId="0" applyFont="1" applyFill="1" applyBorder="1">
      <alignment vertical="center"/>
    </xf>
    <xf numFmtId="0" fontId="9" fillId="4" borderId="27" xfId="0" applyFont="1" applyFill="1" applyBorder="1">
      <alignment vertical="center"/>
    </xf>
    <xf numFmtId="0" fontId="9" fillId="4" borderId="0" xfId="0" applyFont="1" applyFill="1">
      <alignment vertical="center"/>
    </xf>
    <xf numFmtId="0" fontId="9" fillId="4" borderId="28" xfId="0" applyFont="1" applyFill="1" applyBorder="1">
      <alignment vertical="center"/>
    </xf>
    <xf numFmtId="0" fontId="9" fillId="4" borderId="29" xfId="0" applyFont="1" applyFill="1" applyBorder="1">
      <alignment vertical="center"/>
    </xf>
    <xf numFmtId="0" fontId="9" fillId="4" borderId="30" xfId="0" applyFont="1" applyFill="1" applyBorder="1">
      <alignment vertical="center"/>
    </xf>
    <xf numFmtId="0" fontId="9" fillId="4" borderId="31" xfId="0" applyFont="1" applyFill="1" applyBorder="1">
      <alignment vertical="center"/>
    </xf>
    <xf numFmtId="0" fontId="9" fillId="2" borderId="1" xfId="0" applyFont="1" applyFill="1" applyBorder="1">
      <alignment vertical="center"/>
    </xf>
    <xf numFmtId="0" fontId="9" fillId="2" borderId="2" xfId="0" applyFont="1" applyFill="1" applyBorder="1">
      <alignment vertical="center"/>
    </xf>
    <xf numFmtId="0" fontId="9" fillId="2" borderId="3" xfId="0" applyFont="1" applyFill="1" applyBorder="1">
      <alignment vertical="center"/>
    </xf>
    <xf numFmtId="0" fontId="9" fillId="2" borderId="4" xfId="0" applyFont="1" applyFill="1" applyBorder="1">
      <alignment vertical="center"/>
    </xf>
    <xf numFmtId="0" fontId="37" fillId="0" borderId="0" xfId="0" applyFont="1" applyAlignment="1">
      <alignment horizontal="center" vertical="center"/>
    </xf>
    <xf numFmtId="0" fontId="38" fillId="0" borderId="0" xfId="0" applyFont="1">
      <alignment vertical="center"/>
    </xf>
    <xf numFmtId="0" fontId="39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79" fontId="9" fillId="3" borderId="42" xfId="0" applyNumberFormat="1" applyFont="1" applyFill="1" applyBorder="1">
      <alignment vertical="center"/>
    </xf>
    <xf numFmtId="179" fontId="9" fillId="3" borderId="43" xfId="0" applyNumberFormat="1" applyFont="1" applyFill="1" applyBorder="1">
      <alignment vertical="center"/>
    </xf>
    <xf numFmtId="179" fontId="9" fillId="3" borderId="44" xfId="0" applyNumberFormat="1" applyFont="1" applyFill="1" applyBorder="1">
      <alignment vertical="center"/>
    </xf>
    <xf numFmtId="179" fontId="9" fillId="3" borderId="45" xfId="0" applyNumberFormat="1" applyFont="1" applyFill="1" applyBorder="1">
      <alignment vertical="center"/>
    </xf>
    <xf numFmtId="179" fontId="9" fillId="3" borderId="32" xfId="0" applyNumberFormat="1" applyFont="1" applyFill="1" applyBorder="1">
      <alignment vertical="center"/>
    </xf>
    <xf numFmtId="179" fontId="9" fillId="3" borderId="46" xfId="0" applyNumberFormat="1" applyFont="1" applyFill="1" applyBorder="1">
      <alignment vertical="center"/>
    </xf>
    <xf numFmtId="56" fontId="9" fillId="0" borderId="0" xfId="0" quotePrefix="1" applyNumberFormat="1" applyFont="1">
      <alignment vertical="center"/>
    </xf>
    <xf numFmtId="179" fontId="9" fillId="3" borderId="47" xfId="0" applyNumberFormat="1" applyFont="1" applyFill="1" applyBorder="1">
      <alignment vertical="center"/>
    </xf>
    <xf numFmtId="179" fontId="9" fillId="3" borderId="48" xfId="0" applyNumberFormat="1" applyFont="1" applyFill="1" applyBorder="1">
      <alignment vertical="center"/>
    </xf>
    <xf numFmtId="179" fontId="9" fillId="3" borderId="49" xfId="0" applyNumberFormat="1" applyFont="1" applyFill="1" applyBorder="1">
      <alignment vertical="center"/>
    </xf>
    <xf numFmtId="179" fontId="9" fillId="4" borderId="50" xfId="0" applyNumberFormat="1" applyFont="1" applyFill="1" applyBorder="1">
      <alignment vertical="center"/>
    </xf>
    <xf numFmtId="179" fontId="9" fillId="4" borderId="51" xfId="0" applyNumberFormat="1" applyFont="1" applyFill="1" applyBorder="1">
      <alignment vertical="center"/>
    </xf>
    <xf numFmtId="179" fontId="9" fillId="4" borderId="52" xfId="0" applyNumberFormat="1" applyFont="1" applyFill="1" applyBorder="1">
      <alignment vertical="center"/>
    </xf>
    <xf numFmtId="179" fontId="9" fillId="4" borderId="53" xfId="0" applyNumberFormat="1" applyFont="1" applyFill="1" applyBorder="1">
      <alignment vertical="center"/>
    </xf>
    <xf numFmtId="179" fontId="9" fillId="4" borderId="9" xfId="0" applyNumberFormat="1" applyFont="1" applyFill="1" applyBorder="1">
      <alignment vertical="center"/>
    </xf>
    <xf numFmtId="179" fontId="9" fillId="4" borderId="54" xfId="0" applyNumberFormat="1" applyFont="1" applyFill="1" applyBorder="1">
      <alignment vertical="center"/>
    </xf>
    <xf numFmtId="179" fontId="9" fillId="4" borderId="55" xfId="0" applyNumberFormat="1" applyFont="1" applyFill="1" applyBorder="1">
      <alignment vertical="center"/>
    </xf>
    <xf numFmtId="179" fontId="9" fillId="4" borderId="56" xfId="0" applyNumberFormat="1" applyFont="1" applyFill="1" applyBorder="1">
      <alignment vertical="center"/>
    </xf>
    <xf numFmtId="179" fontId="9" fillId="4" borderId="57" xfId="0" applyNumberFormat="1" applyFont="1" applyFill="1" applyBorder="1">
      <alignment vertical="center"/>
    </xf>
    <xf numFmtId="179" fontId="9" fillId="4" borderId="58" xfId="0" applyNumberFormat="1" applyFont="1" applyFill="1" applyBorder="1">
      <alignment vertical="center"/>
    </xf>
    <xf numFmtId="179" fontId="9" fillId="4" borderId="59" xfId="0" applyNumberFormat="1" applyFont="1" applyFill="1" applyBorder="1">
      <alignment vertical="center"/>
    </xf>
    <xf numFmtId="179" fontId="9" fillId="4" borderId="60" xfId="0" applyNumberFormat="1" applyFont="1" applyFill="1" applyBorder="1">
      <alignment vertical="center"/>
    </xf>
    <xf numFmtId="0" fontId="40" fillId="0" borderId="0" xfId="0" applyFont="1">
      <alignment vertical="center"/>
    </xf>
    <xf numFmtId="179" fontId="9" fillId="11" borderId="83" xfId="0" applyNumberFormat="1" applyFont="1" applyFill="1" applyBorder="1">
      <alignment vertical="center"/>
    </xf>
    <xf numFmtId="179" fontId="9" fillId="11" borderId="84" xfId="0" applyNumberFormat="1" applyFont="1" applyFill="1" applyBorder="1">
      <alignment vertical="center"/>
    </xf>
    <xf numFmtId="179" fontId="9" fillId="11" borderId="85" xfId="0" applyNumberFormat="1" applyFont="1" applyFill="1" applyBorder="1">
      <alignment vertical="center"/>
    </xf>
    <xf numFmtId="179" fontId="9" fillId="11" borderId="86" xfId="0" applyNumberFormat="1" applyFont="1" applyFill="1" applyBorder="1">
      <alignment vertical="center"/>
    </xf>
    <xf numFmtId="179" fontId="9" fillId="11" borderId="56" xfId="0" applyNumberFormat="1" applyFont="1" applyFill="1" applyBorder="1">
      <alignment vertical="center"/>
    </xf>
    <xf numFmtId="179" fontId="9" fillId="11" borderId="87" xfId="0" applyNumberFormat="1" applyFont="1" applyFill="1" applyBorder="1">
      <alignment vertical="center"/>
    </xf>
    <xf numFmtId="179" fontId="9" fillId="11" borderId="88" xfId="0" applyNumberFormat="1" applyFont="1" applyFill="1" applyBorder="1">
      <alignment vertical="center"/>
    </xf>
    <xf numFmtId="179" fontId="9" fillId="11" borderId="89" xfId="0" applyNumberFormat="1" applyFont="1" applyFill="1" applyBorder="1">
      <alignment vertical="center"/>
    </xf>
    <xf numFmtId="179" fontId="9" fillId="11" borderId="90" xfId="0" applyNumberFormat="1" applyFont="1" applyFill="1" applyBorder="1">
      <alignment vertical="center"/>
    </xf>
    <xf numFmtId="179" fontId="9" fillId="12" borderId="83" xfId="0" applyNumberFormat="1" applyFont="1" applyFill="1" applyBorder="1">
      <alignment vertical="center"/>
    </xf>
    <xf numFmtId="179" fontId="9" fillId="12" borderId="84" xfId="0" applyNumberFormat="1" applyFont="1" applyFill="1" applyBorder="1">
      <alignment vertical="center"/>
    </xf>
    <xf numFmtId="179" fontId="9" fillId="12" borderId="85" xfId="0" applyNumberFormat="1" applyFont="1" applyFill="1" applyBorder="1">
      <alignment vertical="center"/>
    </xf>
    <xf numFmtId="179" fontId="9" fillId="12" borderId="86" xfId="0" applyNumberFormat="1" applyFont="1" applyFill="1" applyBorder="1">
      <alignment vertical="center"/>
    </xf>
    <xf numFmtId="179" fontId="9" fillId="12" borderId="56" xfId="0" applyNumberFormat="1" applyFont="1" applyFill="1" applyBorder="1">
      <alignment vertical="center"/>
    </xf>
    <xf numFmtId="179" fontId="9" fillId="12" borderId="87" xfId="0" applyNumberFormat="1" applyFont="1" applyFill="1" applyBorder="1">
      <alignment vertical="center"/>
    </xf>
    <xf numFmtId="179" fontId="9" fillId="12" borderId="88" xfId="0" applyNumberFormat="1" applyFont="1" applyFill="1" applyBorder="1">
      <alignment vertical="center"/>
    </xf>
    <xf numFmtId="179" fontId="9" fillId="12" borderId="89" xfId="0" applyNumberFormat="1" applyFont="1" applyFill="1" applyBorder="1">
      <alignment vertical="center"/>
    </xf>
    <xf numFmtId="179" fontId="9" fillId="12" borderId="90" xfId="0" applyNumberFormat="1" applyFont="1" applyFill="1" applyBorder="1">
      <alignment vertical="center"/>
    </xf>
    <xf numFmtId="181" fontId="9" fillId="0" borderId="5" xfId="0" applyNumberFormat="1" applyFont="1" applyBorder="1">
      <alignment vertical="center"/>
    </xf>
    <xf numFmtId="181" fontId="9" fillId="0" borderId="32" xfId="0" applyNumberFormat="1" applyFont="1" applyBorder="1">
      <alignment vertical="center"/>
    </xf>
    <xf numFmtId="181" fontId="9" fillId="0" borderId="6" xfId="0" applyNumberFormat="1" applyFont="1" applyBorder="1">
      <alignment vertical="center"/>
    </xf>
    <xf numFmtId="181" fontId="9" fillId="0" borderId="33" xfId="0" applyNumberFormat="1" applyFont="1" applyBorder="1">
      <alignment vertical="center"/>
    </xf>
    <xf numFmtId="181" fontId="9" fillId="0" borderId="0" xfId="0" applyNumberFormat="1" applyFont="1">
      <alignment vertical="center"/>
    </xf>
    <xf numFmtId="181" fontId="9" fillId="0" borderId="38" xfId="0" applyNumberFormat="1" applyFont="1" applyBorder="1">
      <alignment vertical="center"/>
    </xf>
    <xf numFmtId="181" fontId="9" fillId="0" borderId="10" xfId="0" applyNumberFormat="1" applyFont="1" applyBorder="1">
      <alignment vertical="center"/>
    </xf>
    <xf numFmtId="181" fontId="9" fillId="0" borderId="9" xfId="0" applyNumberFormat="1" applyFont="1" applyBorder="1">
      <alignment vertical="center"/>
    </xf>
    <xf numFmtId="181" fontId="9" fillId="0" borderId="39" xfId="0" applyNumberFormat="1" applyFont="1" applyBorder="1">
      <alignment vertical="center"/>
    </xf>
    <xf numFmtId="178" fontId="9" fillId="0" borderId="0" xfId="0" applyNumberFormat="1" applyFont="1">
      <alignment vertical="center"/>
    </xf>
    <xf numFmtId="0" fontId="9" fillId="0" borderId="0" xfId="0" applyFont="1" applyAlignment="1">
      <alignment vertical="center" wrapText="1"/>
    </xf>
    <xf numFmtId="0" fontId="9" fillId="6" borderId="0" xfId="0" applyFont="1" applyFill="1">
      <alignment vertical="center"/>
    </xf>
    <xf numFmtId="192" fontId="9" fillId="0" borderId="0" xfId="0" applyNumberFormat="1" applyFont="1">
      <alignment vertical="center"/>
    </xf>
    <xf numFmtId="189" fontId="9" fillId="0" borderId="0" xfId="0" applyNumberFormat="1" applyFont="1">
      <alignment vertical="center"/>
    </xf>
    <xf numFmtId="189" fontId="9" fillId="6" borderId="0" xfId="0" applyNumberFormat="1" applyFont="1" applyFill="1">
      <alignment vertical="center"/>
    </xf>
    <xf numFmtId="179" fontId="9" fillId="8" borderId="0" xfId="0" applyNumberFormat="1" applyFont="1" applyFill="1">
      <alignment vertical="center"/>
    </xf>
    <xf numFmtId="179" fontId="28" fillId="0" borderId="0" xfId="0" applyNumberFormat="1" applyFont="1">
      <alignment vertical="center"/>
    </xf>
    <xf numFmtId="179" fontId="19" fillId="0" borderId="0" xfId="0" applyNumberFormat="1" applyFont="1">
      <alignment vertical="center"/>
    </xf>
    <xf numFmtId="188" fontId="19" fillId="0" borderId="0" xfId="0" applyNumberFormat="1" applyFont="1">
      <alignment vertical="center"/>
    </xf>
    <xf numFmtId="186" fontId="19" fillId="0" borderId="0" xfId="0" applyNumberFormat="1" applyFont="1">
      <alignment vertical="center"/>
    </xf>
    <xf numFmtId="179" fontId="9" fillId="7" borderId="0" xfId="0" applyNumberFormat="1" applyFont="1" applyFill="1">
      <alignment vertical="center"/>
    </xf>
    <xf numFmtId="179" fontId="9" fillId="0" borderId="0" xfId="0" applyNumberFormat="1" applyFont="1">
      <alignment vertical="center"/>
    </xf>
    <xf numFmtId="176" fontId="9" fillId="0" borderId="0" xfId="0" applyNumberFormat="1" applyFont="1">
      <alignment vertical="center"/>
    </xf>
    <xf numFmtId="0" fontId="41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77" fontId="9" fillId="0" borderId="0" xfId="0" quotePrefix="1" applyNumberFormat="1" applyFont="1" applyAlignment="1">
      <alignment horizontal="center" vertical="center"/>
    </xf>
    <xf numFmtId="0" fontId="9" fillId="0" borderId="77" xfId="0" applyFont="1" applyBorder="1" applyAlignment="1">
      <alignment horizontal="center" vertical="center"/>
    </xf>
    <xf numFmtId="0" fontId="9" fillId="0" borderId="77" xfId="0" applyFont="1" applyBorder="1" applyAlignment="1">
      <alignment horizontal="right" vertical="center"/>
    </xf>
    <xf numFmtId="0" fontId="9" fillId="0" borderId="77" xfId="0" applyFont="1" applyBorder="1">
      <alignment vertical="center"/>
    </xf>
    <xf numFmtId="9" fontId="9" fillId="0" borderId="77" xfId="0" applyNumberFormat="1" applyFont="1" applyBorder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43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9" fillId="3" borderId="61" xfId="0" applyFont="1" applyFill="1" applyBorder="1">
      <alignment vertical="center"/>
    </xf>
    <xf numFmtId="0" fontId="9" fillId="3" borderId="71" xfId="0" applyFont="1" applyFill="1" applyBorder="1">
      <alignment vertical="center"/>
    </xf>
    <xf numFmtId="0" fontId="9" fillId="3" borderId="72" xfId="0" applyFont="1" applyFill="1" applyBorder="1">
      <alignment vertical="center"/>
    </xf>
    <xf numFmtId="0" fontId="9" fillId="4" borderId="61" xfId="0" applyFont="1" applyFill="1" applyBorder="1">
      <alignment vertical="center"/>
    </xf>
    <xf numFmtId="0" fontId="9" fillId="4" borderId="71" xfId="0" applyFont="1" applyFill="1" applyBorder="1">
      <alignment vertical="center"/>
    </xf>
    <xf numFmtId="0" fontId="9" fillId="0" borderId="5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4" borderId="72" xfId="0" applyFont="1" applyFill="1" applyBorder="1">
      <alignment vertical="center"/>
    </xf>
    <xf numFmtId="0" fontId="9" fillId="0" borderId="33" xfId="0" applyFont="1" applyBorder="1">
      <alignment vertical="center"/>
    </xf>
    <xf numFmtId="0" fontId="9" fillId="0" borderId="32" xfId="0" applyFont="1" applyBorder="1">
      <alignment vertical="center"/>
    </xf>
    <xf numFmtId="0" fontId="9" fillId="0" borderId="10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62" xfId="0" applyFont="1" applyBorder="1">
      <alignment vertical="center"/>
    </xf>
    <xf numFmtId="0" fontId="9" fillId="0" borderId="63" xfId="0" applyFont="1" applyBorder="1">
      <alignment vertical="center"/>
    </xf>
    <xf numFmtId="0" fontId="37" fillId="0" borderId="32" xfId="0" applyFont="1" applyBorder="1" applyAlignment="1">
      <alignment horizontal="center" vertical="center"/>
    </xf>
    <xf numFmtId="183" fontId="9" fillId="3" borderId="32" xfId="0" applyNumberFormat="1" applyFont="1" applyFill="1" applyBorder="1">
      <alignment vertical="center"/>
    </xf>
    <xf numFmtId="183" fontId="9" fillId="3" borderId="64" xfId="0" applyNumberFormat="1" applyFont="1" applyFill="1" applyBorder="1">
      <alignment vertical="center"/>
    </xf>
    <xf numFmtId="183" fontId="9" fillId="3" borderId="65" xfId="0" applyNumberFormat="1" applyFont="1" applyFill="1" applyBorder="1">
      <alignment vertical="center"/>
    </xf>
    <xf numFmtId="0" fontId="8" fillId="0" borderId="9" xfId="0" applyFont="1" applyBorder="1" applyAlignment="1">
      <alignment horizontal="center" vertical="center"/>
    </xf>
    <xf numFmtId="183" fontId="9" fillId="4" borderId="9" xfId="0" applyNumberFormat="1" applyFont="1" applyFill="1" applyBorder="1">
      <alignment vertical="center"/>
    </xf>
    <xf numFmtId="183" fontId="9" fillId="4" borderId="66" xfId="0" applyNumberFormat="1" applyFont="1" applyFill="1" applyBorder="1">
      <alignment vertical="center"/>
    </xf>
    <xf numFmtId="183" fontId="9" fillId="4" borderId="67" xfId="0" applyNumberFormat="1" applyFont="1" applyFill="1" applyBorder="1">
      <alignment vertical="center"/>
    </xf>
    <xf numFmtId="180" fontId="9" fillId="0" borderId="0" xfId="0" applyNumberFormat="1" applyFont="1">
      <alignment vertical="center"/>
    </xf>
    <xf numFmtId="180" fontId="9" fillId="0" borderId="35" xfId="0" applyNumberFormat="1" applyFont="1" applyBorder="1">
      <alignment vertical="center"/>
    </xf>
    <xf numFmtId="180" fontId="9" fillId="0" borderId="68" xfId="0" applyNumberFormat="1" applyFont="1" applyBorder="1">
      <alignment vertical="center"/>
    </xf>
    <xf numFmtId="0" fontId="9" fillId="0" borderId="7" xfId="0" applyFont="1" applyBorder="1" applyAlignment="1">
      <alignment horizontal="left" vertical="center"/>
    </xf>
    <xf numFmtId="0" fontId="38" fillId="0" borderId="0" xfId="0" applyFont="1" applyAlignment="1">
      <alignment horizontal="right" vertical="center"/>
    </xf>
    <xf numFmtId="0" fontId="9" fillId="0" borderId="7" xfId="0" applyFont="1" applyBorder="1" applyAlignment="1">
      <alignment horizontal="center" vertical="center"/>
    </xf>
    <xf numFmtId="56" fontId="38" fillId="0" borderId="5" xfId="0" quotePrefix="1" applyNumberFormat="1" applyFont="1" applyBorder="1" applyAlignment="1">
      <alignment horizontal="center" vertical="center"/>
    </xf>
    <xf numFmtId="183" fontId="9" fillId="0" borderId="32" xfId="0" applyNumberFormat="1" applyFont="1" applyBorder="1">
      <alignment vertical="center"/>
    </xf>
    <xf numFmtId="183" fontId="9" fillId="0" borderId="6" xfId="0" applyNumberFormat="1" applyFont="1" applyBorder="1">
      <alignment vertical="center"/>
    </xf>
    <xf numFmtId="181" fontId="9" fillId="0" borderId="61" xfId="0" applyNumberFormat="1" applyFont="1" applyBorder="1">
      <alignment vertical="center"/>
    </xf>
    <xf numFmtId="56" fontId="38" fillId="0" borderId="33" xfId="0" quotePrefix="1" applyNumberFormat="1" applyFont="1" applyBorder="1" applyAlignment="1">
      <alignment horizontal="center" vertical="center"/>
    </xf>
    <xf numFmtId="183" fontId="9" fillId="0" borderId="0" xfId="0" applyNumberFormat="1" applyFont="1">
      <alignment vertical="center"/>
    </xf>
    <xf numFmtId="183" fontId="9" fillId="0" borderId="38" xfId="0" applyNumberFormat="1" applyFont="1" applyBorder="1">
      <alignment vertical="center"/>
    </xf>
    <xf numFmtId="181" fontId="9" fillId="0" borderId="71" xfId="0" applyNumberFormat="1" applyFont="1" applyBorder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9" fillId="0" borderId="69" xfId="0" applyFont="1" applyBorder="1">
      <alignment vertical="center"/>
    </xf>
    <xf numFmtId="181" fontId="9" fillId="2" borderId="12" xfId="0" applyNumberFormat="1" applyFont="1" applyFill="1" applyBorder="1">
      <alignment vertical="center"/>
    </xf>
    <xf numFmtId="56" fontId="38" fillId="0" borderId="10" xfId="0" quotePrefix="1" applyNumberFormat="1" applyFont="1" applyBorder="1" applyAlignment="1">
      <alignment horizontal="center" vertical="center"/>
    </xf>
    <xf numFmtId="183" fontId="9" fillId="0" borderId="9" xfId="0" applyNumberFormat="1" applyFont="1" applyBorder="1">
      <alignment vertical="center"/>
    </xf>
    <xf numFmtId="183" fontId="9" fillId="0" borderId="39" xfId="0" applyNumberFormat="1" applyFont="1" applyBorder="1">
      <alignment vertical="center"/>
    </xf>
    <xf numFmtId="181" fontId="9" fillId="0" borderId="72" xfId="0" applyNumberFormat="1" applyFont="1" applyBorder="1">
      <alignment vertical="center"/>
    </xf>
    <xf numFmtId="0" fontId="8" fillId="0" borderId="10" xfId="0" applyFont="1" applyBorder="1" applyAlignment="1">
      <alignment horizontal="center" vertical="center"/>
    </xf>
    <xf numFmtId="0" fontId="9" fillId="0" borderId="70" xfId="0" applyFont="1" applyBorder="1">
      <alignment vertical="center"/>
    </xf>
    <xf numFmtId="181" fontId="9" fillId="2" borderId="14" xfId="0" applyNumberFormat="1" applyFont="1" applyFill="1" applyBorder="1">
      <alignment vertical="center"/>
    </xf>
    <xf numFmtId="0" fontId="38" fillId="0" borderId="0" xfId="0" applyFont="1" applyAlignment="1">
      <alignment horizontal="center" vertical="center"/>
    </xf>
    <xf numFmtId="0" fontId="38" fillId="6" borderId="0" xfId="0" applyFont="1" applyFill="1" applyAlignment="1">
      <alignment horizontal="center" vertical="center"/>
    </xf>
    <xf numFmtId="181" fontId="9" fillId="6" borderId="72" xfId="0" applyNumberFormat="1" applyFont="1" applyFill="1" applyBorder="1">
      <alignment vertical="center"/>
    </xf>
    <xf numFmtId="0" fontId="9" fillId="0" borderId="6" xfId="0" applyFont="1" applyBorder="1" applyAlignment="1">
      <alignment horizontal="center" vertical="center"/>
    </xf>
    <xf numFmtId="0" fontId="44" fillId="0" borderId="0" xfId="0" applyFont="1">
      <alignment vertical="center"/>
    </xf>
    <xf numFmtId="0" fontId="9" fillId="2" borderId="11" xfId="0" applyFont="1" applyFill="1" applyBorder="1">
      <alignment vertical="center"/>
    </xf>
    <xf numFmtId="0" fontId="9" fillId="2" borderId="12" xfId="0" applyFont="1" applyFill="1" applyBorder="1">
      <alignment vertical="center"/>
    </xf>
    <xf numFmtId="0" fontId="9" fillId="2" borderId="13" xfId="0" applyFont="1" applyFill="1" applyBorder="1">
      <alignment vertical="center"/>
    </xf>
    <xf numFmtId="0" fontId="9" fillId="2" borderId="14" xfId="0" applyFont="1" applyFill="1" applyBorder="1">
      <alignment vertical="center"/>
    </xf>
    <xf numFmtId="181" fontId="9" fillId="6" borderId="77" xfId="0" applyNumberFormat="1" applyFont="1" applyFill="1" applyBorder="1">
      <alignment vertical="center"/>
    </xf>
    <xf numFmtId="0" fontId="9" fillId="0" borderId="36" xfId="0" applyFont="1" applyBorder="1">
      <alignment vertical="center"/>
    </xf>
    <xf numFmtId="0" fontId="9" fillId="0" borderId="37" xfId="0" applyFont="1" applyBorder="1">
      <alignment vertical="center"/>
    </xf>
    <xf numFmtId="0" fontId="9" fillId="6" borderId="76" xfId="0" applyFont="1" applyFill="1" applyBorder="1" applyAlignment="1">
      <alignment horizontal="center" vertical="center"/>
    </xf>
    <xf numFmtId="56" fontId="9" fillId="0" borderId="34" xfId="0" quotePrefix="1" applyNumberFormat="1" applyFont="1" applyBorder="1">
      <alignment vertical="center"/>
    </xf>
    <xf numFmtId="183" fontId="9" fillId="0" borderId="61" xfId="0" applyNumberFormat="1" applyFont="1" applyBorder="1">
      <alignment vertical="center"/>
    </xf>
    <xf numFmtId="182" fontId="9" fillId="6" borderId="65" xfId="0" applyNumberFormat="1" applyFont="1" applyFill="1" applyBorder="1">
      <alignment vertical="center"/>
    </xf>
    <xf numFmtId="183" fontId="9" fillId="0" borderId="71" xfId="0" applyNumberFormat="1" applyFont="1" applyBorder="1">
      <alignment vertical="center"/>
    </xf>
    <xf numFmtId="182" fontId="9" fillId="6" borderId="74" xfId="0" applyNumberFormat="1" applyFont="1" applyFill="1" applyBorder="1">
      <alignment vertical="center"/>
    </xf>
    <xf numFmtId="183" fontId="9" fillId="0" borderId="72" xfId="0" applyNumberFormat="1" applyFont="1" applyBorder="1">
      <alignment vertical="center"/>
    </xf>
    <xf numFmtId="56" fontId="9" fillId="0" borderId="35" xfId="0" quotePrefix="1" applyNumberFormat="1" applyFont="1" applyBorder="1">
      <alignment vertical="center"/>
    </xf>
    <xf numFmtId="183" fontId="9" fillId="0" borderId="73" xfId="0" applyNumberFormat="1" applyFont="1" applyBorder="1">
      <alignment vertical="center"/>
    </xf>
    <xf numFmtId="183" fontId="9" fillId="0" borderId="75" xfId="0" applyNumberFormat="1" applyFont="1" applyBorder="1">
      <alignment vertical="center"/>
    </xf>
    <xf numFmtId="182" fontId="9" fillId="6" borderId="68" xfId="0" applyNumberFormat="1" applyFont="1" applyFill="1" applyBorder="1">
      <alignment vertical="center"/>
    </xf>
    <xf numFmtId="0" fontId="9" fillId="0" borderId="34" xfId="0" applyFont="1" applyBorder="1">
      <alignment vertical="center"/>
    </xf>
    <xf numFmtId="181" fontId="9" fillId="6" borderId="74" xfId="0" applyNumberFormat="1" applyFont="1" applyFill="1" applyBorder="1" applyAlignment="1">
      <alignment horizontal="center" vertical="center"/>
    </xf>
    <xf numFmtId="0" fontId="9" fillId="0" borderId="35" xfId="0" applyFont="1" applyBorder="1">
      <alignment vertical="center"/>
    </xf>
    <xf numFmtId="181" fontId="9" fillId="6" borderId="68" xfId="0" applyNumberFormat="1" applyFont="1" applyFill="1" applyBorder="1" applyAlignment="1">
      <alignment horizontal="center" vertical="center"/>
    </xf>
    <xf numFmtId="0" fontId="39" fillId="0" borderId="0" xfId="0" quotePrefix="1" applyFont="1" applyAlignment="1">
      <alignment horizontal="right" vertical="center"/>
    </xf>
    <xf numFmtId="183" fontId="9" fillId="4" borderId="0" xfId="0" applyNumberFormat="1" applyFont="1" applyFill="1">
      <alignment vertical="center"/>
    </xf>
    <xf numFmtId="183" fontId="9" fillId="3" borderId="0" xfId="0" applyNumberFormat="1" applyFont="1" applyFill="1">
      <alignment vertical="center"/>
    </xf>
    <xf numFmtId="0" fontId="9" fillId="3" borderId="64" xfId="0" applyFont="1" applyFill="1" applyBorder="1">
      <alignment vertical="center"/>
    </xf>
    <xf numFmtId="0" fontId="9" fillId="3" borderId="65" xfId="0" applyFont="1" applyFill="1" applyBorder="1">
      <alignment vertical="center"/>
    </xf>
    <xf numFmtId="0" fontId="9" fillId="3" borderId="32" xfId="0" applyFont="1" applyFill="1" applyBorder="1">
      <alignment vertical="center"/>
    </xf>
    <xf numFmtId="0" fontId="9" fillId="4" borderId="66" xfId="0" applyFont="1" applyFill="1" applyBorder="1">
      <alignment vertical="center"/>
    </xf>
    <xf numFmtId="0" fontId="9" fillId="4" borderId="67" xfId="0" applyFont="1" applyFill="1" applyBorder="1">
      <alignment vertical="center"/>
    </xf>
    <xf numFmtId="0" fontId="9" fillId="4" borderId="9" xfId="0" applyFont="1" applyFill="1" applyBorder="1">
      <alignment vertical="center"/>
    </xf>
    <xf numFmtId="0" fontId="40" fillId="0" borderId="0" xfId="0" applyFont="1" applyAlignment="1">
      <alignment horizontal="center" vertical="center"/>
    </xf>
    <xf numFmtId="177" fontId="9" fillId="0" borderId="0" xfId="0" applyNumberFormat="1" applyFont="1">
      <alignment vertical="center"/>
    </xf>
    <xf numFmtId="0" fontId="45" fillId="0" borderId="0" xfId="0" applyFont="1">
      <alignment vertical="center"/>
    </xf>
    <xf numFmtId="0" fontId="17" fillId="0" borderId="77" xfId="0" applyFont="1" applyBorder="1">
      <alignment vertical="center"/>
    </xf>
    <xf numFmtId="0" fontId="15" fillId="0" borderId="77" xfId="0" applyFont="1" applyBorder="1" applyAlignment="1">
      <alignment horizontal="center" vertical="center"/>
    </xf>
    <xf numFmtId="0" fontId="17" fillId="0" borderId="77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17" fillId="9" borderId="5" xfId="0" applyFont="1" applyFill="1" applyBorder="1" applyAlignment="1">
      <alignment horizontal="left" vertical="top" wrapText="1"/>
    </xf>
    <xf numFmtId="0" fontId="17" fillId="9" borderId="32" xfId="0" applyFont="1" applyFill="1" applyBorder="1" applyAlignment="1">
      <alignment horizontal="left" vertical="top" wrapText="1"/>
    </xf>
    <xf numFmtId="0" fontId="17" fillId="9" borderId="6" xfId="0" applyFont="1" applyFill="1" applyBorder="1" applyAlignment="1">
      <alignment horizontal="left" vertical="top" wrapText="1"/>
    </xf>
    <xf numFmtId="0" fontId="17" fillId="9" borderId="33" xfId="0" applyFont="1" applyFill="1" applyBorder="1" applyAlignment="1">
      <alignment horizontal="left" vertical="top" wrapText="1"/>
    </xf>
    <xf numFmtId="0" fontId="17" fillId="9" borderId="0" xfId="0" applyFont="1" applyFill="1" applyAlignment="1">
      <alignment horizontal="left" vertical="top" wrapText="1"/>
    </xf>
    <xf numFmtId="0" fontId="17" fillId="9" borderId="38" xfId="0" applyFont="1" applyFill="1" applyBorder="1" applyAlignment="1">
      <alignment horizontal="left" vertical="top" wrapText="1"/>
    </xf>
    <xf numFmtId="0" fontId="17" fillId="9" borderId="10" xfId="0" applyFont="1" applyFill="1" applyBorder="1" applyAlignment="1">
      <alignment horizontal="left" vertical="top" wrapText="1"/>
    </xf>
    <xf numFmtId="0" fontId="17" fillId="9" borderId="9" xfId="0" applyFont="1" applyFill="1" applyBorder="1" applyAlignment="1">
      <alignment horizontal="left" vertical="top" wrapText="1"/>
    </xf>
    <xf numFmtId="0" fontId="17" fillId="9" borderId="39" xfId="0" applyFont="1" applyFill="1" applyBorder="1" applyAlignment="1">
      <alignment horizontal="left" vertical="top" wrapText="1"/>
    </xf>
    <xf numFmtId="0" fontId="15" fillId="0" borderId="32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7" fillId="6" borderId="61" xfId="0" applyFont="1" applyFill="1" applyBorder="1" applyAlignment="1">
      <alignment horizontal="center" vertical="center"/>
    </xf>
    <xf numFmtId="0" fontId="17" fillId="6" borderId="72" xfId="0" applyFont="1" applyFill="1" applyBorder="1" applyAlignment="1">
      <alignment horizontal="center" vertical="center"/>
    </xf>
    <xf numFmtId="187" fontId="17" fillId="10" borderId="5" xfId="0" applyNumberFormat="1" applyFont="1" applyFill="1" applyBorder="1" applyAlignment="1">
      <alignment horizontal="right" vertical="center"/>
    </xf>
    <xf numFmtId="187" fontId="17" fillId="10" borderId="6" xfId="0" applyNumberFormat="1" applyFont="1" applyFill="1" applyBorder="1" applyAlignment="1">
      <alignment horizontal="right" vertical="center"/>
    </xf>
    <xf numFmtId="187" fontId="17" fillId="10" borderId="10" xfId="0" applyNumberFormat="1" applyFont="1" applyFill="1" applyBorder="1" applyAlignment="1">
      <alignment horizontal="right" vertical="center"/>
    </xf>
    <xf numFmtId="187" fontId="17" fillId="10" borderId="39" xfId="0" applyNumberFormat="1" applyFont="1" applyFill="1" applyBorder="1" applyAlignment="1">
      <alignment horizontal="right" vertical="center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39" xfId="0" applyFont="1" applyBorder="1" applyAlignment="1">
      <alignment horizontal="center" vertical="center" wrapText="1"/>
    </xf>
    <xf numFmtId="0" fontId="15" fillId="6" borderId="5" xfId="0" applyFont="1" applyFill="1" applyBorder="1" applyAlignment="1">
      <alignment horizontal="left" vertical="center"/>
    </xf>
    <xf numFmtId="0" fontId="15" fillId="6" borderId="32" xfId="0" applyFont="1" applyFill="1" applyBorder="1" applyAlignment="1">
      <alignment horizontal="left" vertical="center"/>
    </xf>
    <xf numFmtId="0" fontId="15" fillId="6" borderId="6" xfId="0" applyFont="1" applyFill="1" applyBorder="1" applyAlignment="1">
      <alignment horizontal="left" vertical="center"/>
    </xf>
    <xf numFmtId="0" fontId="15" fillId="6" borderId="10" xfId="0" applyFont="1" applyFill="1" applyBorder="1" applyAlignment="1">
      <alignment horizontal="left" vertical="center"/>
    </xf>
    <xf numFmtId="0" fontId="15" fillId="6" borderId="9" xfId="0" applyFont="1" applyFill="1" applyBorder="1" applyAlignment="1">
      <alignment horizontal="left" vertical="center"/>
    </xf>
    <xf numFmtId="0" fontId="15" fillId="6" borderId="39" xfId="0" applyFont="1" applyFill="1" applyBorder="1" applyAlignment="1">
      <alignment horizontal="left" vertical="center"/>
    </xf>
    <xf numFmtId="0" fontId="13" fillId="0" borderId="3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14" fontId="15" fillId="2" borderId="5" xfId="0" applyNumberFormat="1" applyFont="1" applyFill="1" applyBorder="1" applyAlignment="1" applyProtection="1">
      <alignment horizontal="center" vertical="center"/>
      <protection locked="0"/>
    </xf>
    <xf numFmtId="0" fontId="15" fillId="2" borderId="32" xfId="0" applyFont="1" applyFill="1" applyBorder="1" applyAlignment="1" applyProtection="1">
      <alignment horizontal="center" vertical="center"/>
      <protection locked="0"/>
    </xf>
    <xf numFmtId="0" fontId="15" fillId="2" borderId="6" xfId="0" applyFont="1" applyFill="1" applyBorder="1" applyAlignment="1" applyProtection="1">
      <alignment horizontal="center" vertical="center"/>
      <protection locked="0"/>
    </xf>
    <xf numFmtId="0" fontId="15" fillId="2" borderId="10" xfId="0" applyFont="1" applyFill="1" applyBorder="1" applyAlignment="1" applyProtection="1">
      <alignment horizontal="center" vertical="center"/>
      <protection locked="0"/>
    </xf>
    <xf numFmtId="0" fontId="15" fillId="2" borderId="9" xfId="0" applyFont="1" applyFill="1" applyBorder="1" applyAlignment="1" applyProtection="1">
      <alignment horizontal="center" vertical="center"/>
      <protection locked="0"/>
    </xf>
    <xf numFmtId="0" fontId="15" fillId="2" borderId="39" xfId="0" applyFont="1" applyFill="1" applyBorder="1" applyAlignment="1" applyProtection="1">
      <alignment horizontal="center" vertical="center"/>
      <protection locked="0"/>
    </xf>
    <xf numFmtId="0" fontId="15" fillId="2" borderId="77" xfId="0" applyFont="1" applyFill="1" applyBorder="1" applyAlignment="1" applyProtection="1">
      <alignment horizontal="center" vertical="center"/>
      <protection locked="0"/>
    </xf>
    <xf numFmtId="0" fontId="11" fillId="0" borderId="5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6" fillId="6" borderId="5" xfId="0" applyFont="1" applyFill="1" applyBorder="1" applyAlignment="1" applyProtection="1">
      <alignment horizontal="center" vertical="center"/>
      <protection locked="0"/>
    </xf>
    <xf numFmtId="0" fontId="16" fillId="6" borderId="32" xfId="0" applyFont="1" applyFill="1" applyBorder="1" applyAlignment="1" applyProtection="1">
      <alignment horizontal="center" vertical="center"/>
      <protection locked="0"/>
    </xf>
    <xf numFmtId="0" fontId="16" fillId="6" borderId="6" xfId="0" applyFont="1" applyFill="1" applyBorder="1" applyAlignment="1" applyProtection="1">
      <alignment horizontal="center" vertical="center"/>
      <protection locked="0"/>
    </xf>
    <xf numFmtId="0" fontId="16" fillId="6" borderId="10" xfId="0" applyFont="1" applyFill="1" applyBorder="1" applyAlignment="1" applyProtection="1">
      <alignment horizontal="center" vertical="center"/>
      <protection locked="0"/>
    </xf>
    <xf numFmtId="0" fontId="16" fillId="6" borderId="9" xfId="0" applyFont="1" applyFill="1" applyBorder="1" applyAlignment="1" applyProtection="1">
      <alignment horizontal="center" vertical="center"/>
      <protection locked="0"/>
    </xf>
    <xf numFmtId="0" fontId="16" fillId="6" borderId="39" xfId="0" applyFont="1" applyFill="1" applyBorder="1" applyAlignment="1" applyProtection="1">
      <alignment horizontal="center" vertical="center"/>
      <protection locked="0"/>
    </xf>
    <xf numFmtId="0" fontId="15" fillId="0" borderId="77" xfId="0" applyFont="1" applyBorder="1" applyAlignment="1">
      <alignment horizontal="center" vertical="center"/>
    </xf>
    <xf numFmtId="0" fontId="15" fillId="10" borderId="5" xfId="0" applyFont="1" applyFill="1" applyBorder="1" applyAlignment="1" applyProtection="1">
      <alignment horizontal="center" vertical="center"/>
      <protection locked="0"/>
    </xf>
    <xf numFmtId="0" fontId="15" fillId="10" borderId="32" xfId="0" applyFont="1" applyFill="1" applyBorder="1" applyAlignment="1" applyProtection="1">
      <alignment horizontal="center" vertical="center"/>
      <protection locked="0"/>
    </xf>
    <xf numFmtId="0" fontId="15" fillId="10" borderId="6" xfId="0" applyFont="1" applyFill="1" applyBorder="1" applyAlignment="1" applyProtection="1">
      <alignment horizontal="center" vertical="center"/>
      <protection locked="0"/>
    </xf>
    <xf numFmtId="0" fontId="15" fillId="10" borderId="10" xfId="0" applyFont="1" applyFill="1" applyBorder="1" applyAlignment="1" applyProtection="1">
      <alignment horizontal="center" vertical="center"/>
      <protection locked="0"/>
    </xf>
    <xf numFmtId="0" fontId="15" fillId="10" borderId="9" xfId="0" applyFont="1" applyFill="1" applyBorder="1" applyAlignment="1" applyProtection="1">
      <alignment horizontal="center" vertical="center"/>
      <protection locked="0"/>
    </xf>
    <xf numFmtId="0" fontId="15" fillId="10" borderId="39" xfId="0" applyFont="1" applyFill="1" applyBorder="1" applyAlignment="1" applyProtection="1">
      <alignment horizontal="center" vertical="center"/>
      <protection locked="0"/>
    </xf>
    <xf numFmtId="190" fontId="17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0" fillId="0" borderId="80" xfId="0" quotePrefix="1" applyBorder="1" applyAlignment="1">
      <alignment horizontal="center" vertical="center"/>
    </xf>
    <xf numFmtId="0" fontId="0" fillId="0" borderId="78" xfId="0" quotePrefix="1" applyBorder="1" applyAlignment="1">
      <alignment horizontal="center" vertical="center"/>
    </xf>
    <xf numFmtId="0" fontId="0" fillId="0" borderId="82" xfId="0" quotePrefix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50">
    <cellStyle name="パーセント" xfId="1" builtinId="5"/>
    <cellStyle name="ハイパーリンク" xfId="2" builtinId="8" hidden="1"/>
    <cellStyle name="ハイパーリンク" xfId="4" builtinId="8" hidden="1"/>
    <cellStyle name="ハイパーリンク" xfId="6" builtinId="8" hidden="1"/>
    <cellStyle name="ハイパーリンク" xfId="8" builtinId="8" hidden="1"/>
    <cellStyle name="ハイパーリンク" xfId="10" builtinId="8" hidden="1"/>
    <cellStyle name="ハイパーリンク" xfId="12" builtinId="8" hidden="1"/>
    <cellStyle name="ハイパーリンク" xfId="14" builtinId="8" hidden="1"/>
    <cellStyle name="ハイパーリンク" xfId="16" builtinId="8" hidden="1"/>
    <cellStyle name="ハイパーリンク" xfId="18" builtinId="8" hidden="1"/>
    <cellStyle name="ハイパーリンク" xfId="20" builtinId="8" hidden="1"/>
    <cellStyle name="ハイパーリンク" xfId="22" builtinId="8" hidden="1"/>
    <cellStyle name="ハイパーリンク" xfId="24" builtinId="8" hidden="1"/>
    <cellStyle name="ハイパーリンク" xfId="26" builtinId="8" hidden="1"/>
    <cellStyle name="ハイパーリンク" xfId="28" builtinId="8" hidden="1"/>
    <cellStyle name="ハイパーリンク" xfId="30" builtinId="8" hidden="1"/>
    <cellStyle name="ハイパーリンク" xfId="32" builtinId="8" hidden="1"/>
    <cellStyle name="ハイパーリンク" xfId="34" builtinId="8" hidden="1"/>
    <cellStyle name="ハイパーリンク" xfId="36" builtinId="8" hidden="1"/>
    <cellStyle name="ハイパーリンク" xfId="38" builtinId="8" hidden="1"/>
    <cellStyle name="ハイパーリンク" xfId="40" builtinId="8" hidden="1"/>
    <cellStyle name="ハイパーリンク" xfId="42" builtinId="8" hidden="1"/>
    <cellStyle name="ハイパーリンク" xfId="44" builtinId="8" hidden="1"/>
    <cellStyle name="ハイパーリンク" xfId="46" builtinId="8" hidden="1"/>
    <cellStyle name="ハイパーリンク" xfId="48" builtinId="8" hidden="1"/>
    <cellStyle name="標準" xfId="0" builtinId="0"/>
    <cellStyle name="表示済みのハイパーリンク" xfId="3" builtinId="9" hidden="1"/>
    <cellStyle name="表示済みのハイパーリンク" xfId="5" builtinId="9" hidden="1"/>
    <cellStyle name="表示済みのハイパーリンク" xfId="7" builtinId="9" hidden="1"/>
    <cellStyle name="表示済みのハイパーリンク" xfId="9" builtinId="9" hidden="1"/>
    <cellStyle name="表示済みのハイパーリンク" xfId="11" builtinId="9" hidden="1"/>
    <cellStyle name="表示済みのハイパーリンク" xfId="13" builtinId="9" hidden="1"/>
    <cellStyle name="表示済みのハイパーリンク" xfId="15" builtinId="9" hidden="1"/>
    <cellStyle name="表示済みのハイパーリンク" xfId="17" builtinId="9" hidden="1"/>
    <cellStyle name="表示済みのハイパーリンク" xfId="19" builtinId="9" hidden="1"/>
    <cellStyle name="表示済みのハイパーリンク" xfId="21" builtinId="9" hidden="1"/>
    <cellStyle name="表示済みのハイパーリンク" xfId="23" builtinId="9" hidden="1"/>
    <cellStyle name="表示済みのハイパーリンク" xfId="25" builtinId="9" hidden="1"/>
    <cellStyle name="表示済みのハイパーリンク" xfId="27" builtinId="9" hidden="1"/>
    <cellStyle name="表示済みのハイパーリンク" xfId="29" builtinId="9" hidden="1"/>
    <cellStyle name="表示済みのハイパーリンク" xfId="31" builtinId="9" hidden="1"/>
    <cellStyle name="表示済みのハイパーリンク" xfId="33" builtinId="9" hidden="1"/>
    <cellStyle name="表示済みのハイパーリンク" xfId="35" builtinId="9" hidden="1"/>
    <cellStyle name="表示済みのハイパーリンク" xfId="37" builtinId="9" hidden="1"/>
    <cellStyle name="表示済みのハイパーリンク" xfId="39" builtinId="9" hidden="1"/>
    <cellStyle name="表示済みのハイパーリンク" xfId="41" builtinId="9" hidden="1"/>
    <cellStyle name="表示済みのハイパーリンク" xfId="43" builtinId="9" hidden="1"/>
    <cellStyle name="表示済みのハイパーリンク" xfId="45" builtinId="9" hidden="1"/>
    <cellStyle name="表示済みのハイパーリンク" xfId="47" builtinId="9" hidden="1"/>
    <cellStyle name="表示済みのハイパーリンク" xfId="49" builtinId="9" hidden="1"/>
  </cellStyles>
  <dxfs count="22"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theme="3"/>
      </font>
      <fill>
        <patternFill>
          <bgColor theme="8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theme="3"/>
      </font>
      <fill>
        <patternFill>
          <bgColor theme="8" tint="0.79998168889431442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002060"/>
      </font>
      <fill>
        <patternFill>
          <bgColor theme="8" tint="0.79998168889431442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002060"/>
      </font>
      <fill>
        <patternFill>
          <bgColor theme="8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002060"/>
      </font>
      <fill>
        <patternFill>
          <bgColor theme="8" tint="0.79998168889431442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</dxfs>
  <tableStyles count="0" defaultTableStyle="TableStyleMedium2" defaultPivotStyle="PivotStyleLight16"/>
  <colors>
    <mruColors>
      <color rgb="FFFF0000"/>
      <color rgb="FFFF3300"/>
      <color rgb="FFFF6600"/>
      <color rgb="FFFF99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Arial" charset="0"/>
                <a:ea typeface="Arial" charset="0"/>
                <a:cs typeface="Arial" charset="0"/>
              </a:defRPr>
            </a:pPr>
            <a:r>
              <a:rPr lang="en-US" altLang="en-US" sz="1000">
                <a:latin typeface="Arial" charset="0"/>
                <a:ea typeface="Arial" charset="0"/>
                <a:cs typeface="Arial" charset="0"/>
              </a:rPr>
              <a:t>GAPLA, IL8LA, nIL8LA</a:t>
            </a:r>
          </a:p>
        </c:rich>
      </c:tx>
      <c:layout>
        <c:manualLayout>
          <c:xMode val="edge"/>
          <c:yMode val="edge"/>
          <c:x val="0.32743604268215298"/>
          <c:y val="4.2857435028413597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GAPLA</c:v>
          </c:tx>
          <c:spPr>
            <a:solidFill>
              <a:srgbClr val="FF0000"/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ResultFormat!$B$96:$M$96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ResultFormat!$B$96:$M$96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minus>
          </c:errBars>
          <c:cat>
            <c:numRef>
              <c:f>ResultFormat!$B$84:$M$84</c:f>
              <c:numCache>
                <c:formatCode>#\ ???/??????</c:formatCode>
                <c:ptCount val="12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\ ???/?????">
                  <c:v>0</c:v>
                </c:pt>
                <c:pt idx="5" formatCode="#\ ???/?????">
                  <c:v>0</c:v>
                </c:pt>
                <c:pt idx="6" formatCode="#\ ???/?????">
                  <c:v>0</c:v>
                </c:pt>
                <c:pt idx="7" formatCode="#\ ???/?????">
                  <c:v>0</c:v>
                </c:pt>
                <c:pt idx="8" formatCode="#\ ???/?????">
                  <c:v>0</c:v>
                </c:pt>
                <c:pt idx="9" formatCode="#\ ???/?????">
                  <c:v>0</c:v>
                </c:pt>
                <c:pt idx="10" formatCode="#\ ???/?????">
                  <c:v>0</c:v>
                </c:pt>
                <c:pt idx="11" formatCode="#\ ???/?????">
                  <c:v>0</c:v>
                </c:pt>
              </c:numCache>
            </c:numRef>
          </c:cat>
          <c:val>
            <c:numRef>
              <c:f>ResultFormat!$B$95:$M$95</c:f>
              <c:numCache>
                <c:formatCode>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6C-8D46-A887-04E3497AA117}"/>
            </c:ext>
          </c:extLst>
        </c:ser>
        <c:ser>
          <c:idx val="1"/>
          <c:order val="1"/>
          <c:tx>
            <c:v>IL8LA</c:v>
          </c:tx>
          <c:spPr>
            <a:solidFill>
              <a:srgbClr val="FFC000"/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ResultFormat!$B$86:$M$86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ResultFormat!$B$86:$M$86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minus>
          </c:errBars>
          <c:cat>
            <c:numRef>
              <c:f>ResultFormat!$B$84:$M$84</c:f>
              <c:numCache>
                <c:formatCode>#\ ???/??????</c:formatCode>
                <c:ptCount val="12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\ ???/?????">
                  <c:v>0</c:v>
                </c:pt>
                <c:pt idx="5" formatCode="#\ ???/?????">
                  <c:v>0</c:v>
                </c:pt>
                <c:pt idx="6" formatCode="#\ ???/?????">
                  <c:v>0</c:v>
                </c:pt>
                <c:pt idx="7" formatCode="#\ ???/?????">
                  <c:v>0</c:v>
                </c:pt>
                <c:pt idx="8" formatCode="#\ ???/?????">
                  <c:v>0</c:v>
                </c:pt>
                <c:pt idx="9" formatCode="#\ ???/?????">
                  <c:v>0</c:v>
                </c:pt>
                <c:pt idx="10" formatCode="#\ ???/?????">
                  <c:v>0</c:v>
                </c:pt>
                <c:pt idx="11" formatCode="#\ ???/?????">
                  <c:v>0</c:v>
                </c:pt>
              </c:numCache>
            </c:numRef>
          </c:cat>
          <c:val>
            <c:numRef>
              <c:f>ResultFormat!$B$85:$M$85</c:f>
              <c:numCache>
                <c:formatCode>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6C-8D46-A887-04E3497AA1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5476384"/>
        <c:axId val="1822869184"/>
      </c:barChart>
      <c:lineChart>
        <c:grouping val="standard"/>
        <c:varyColors val="0"/>
        <c:ser>
          <c:idx val="2"/>
          <c:order val="2"/>
          <c:tx>
            <c:v>nIL8LA</c:v>
          </c:tx>
          <c:spPr>
            <a:ln w="22225">
              <a:solidFill>
                <a:schemeClr val="tx1"/>
              </a:solidFill>
            </a:ln>
          </c:spPr>
          <c:marker>
            <c:symbol val="square"/>
            <c:size val="3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ResultFormat!$B$106:$M$106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ResultFormat!$B$106:$M$106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minus>
            <c:spPr>
              <a:ln w="3175">
                <a:solidFill>
                  <a:srgbClr val="000000"/>
                </a:solidFill>
                <a:prstDash val="solid"/>
              </a:ln>
            </c:spPr>
          </c:errBars>
          <c:cat>
            <c:numLit>
              <c:formatCode>General</c:formatCode>
              <c:ptCount val="1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</c:numLit>
          </c:cat>
          <c:val>
            <c:numRef>
              <c:f>ResultFormat!$B$105:$M$105</c:f>
              <c:numCache>
                <c:formatCode>0.000_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6C-8D46-A887-04E3497AA1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2463104"/>
        <c:axId val="1757775808"/>
      </c:lineChart>
      <c:catAx>
        <c:axId val="1805476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500"/>
            </a:pPr>
            <a:endParaRPr lang="ja-JP"/>
          </a:p>
        </c:txPr>
        <c:crossAx val="1822869184"/>
        <c:crosses val="autoZero"/>
        <c:auto val="1"/>
        <c:lblAlgn val="ctr"/>
        <c:lblOffset val="100"/>
        <c:noMultiLvlLbl val="0"/>
      </c:catAx>
      <c:valAx>
        <c:axId val="1822869184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600"/>
                </a:pPr>
                <a:r>
                  <a:rPr lang="en-US" altLang="en-US" sz="600"/>
                  <a:t>GAPLA,</a:t>
                </a:r>
                <a:r>
                  <a:rPr lang="en-US" altLang="en-US" sz="600" baseline="0"/>
                  <a:t> IL8LA</a:t>
                </a:r>
                <a:endParaRPr lang="en-US" altLang="en-US" sz="600"/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 " sourceLinked="1"/>
        <c:majorTickMark val="out"/>
        <c:minorTickMark val="none"/>
        <c:tickLblPos val="nextTo"/>
        <c:txPr>
          <a:bodyPr/>
          <a:lstStyle/>
          <a:p>
            <a:pPr>
              <a:defRPr sz="600"/>
            </a:pPr>
            <a:endParaRPr lang="ja-JP"/>
          </a:p>
        </c:txPr>
        <c:crossAx val="1805476384"/>
        <c:crosses val="autoZero"/>
        <c:crossBetween val="between"/>
      </c:valAx>
      <c:catAx>
        <c:axId val="17924631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57775808"/>
        <c:crosses val="autoZero"/>
        <c:auto val="1"/>
        <c:lblAlgn val="ctr"/>
        <c:lblOffset val="100"/>
        <c:noMultiLvlLbl val="0"/>
      </c:catAx>
      <c:valAx>
        <c:axId val="1757775808"/>
        <c:scaling>
          <c:orientation val="minMax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600"/>
                </a:pPr>
                <a:r>
                  <a:rPr lang="en-US" altLang="en-US" sz="600"/>
                  <a:t>nIL8LA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_ " sourceLinked="0"/>
        <c:majorTickMark val="out"/>
        <c:minorTickMark val="none"/>
        <c:tickLblPos val="nextTo"/>
        <c:txPr>
          <a:bodyPr/>
          <a:lstStyle/>
          <a:p>
            <a:pPr>
              <a:defRPr sz="600"/>
            </a:pPr>
            <a:endParaRPr lang="ja-JP"/>
          </a:p>
        </c:txPr>
        <c:crossAx val="1792463104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84111145374297402"/>
          <c:y val="0.31071449402158102"/>
          <c:w val="0.15157894736842101"/>
          <c:h val="0.51428646419197599"/>
        </c:manualLayout>
      </c:layout>
      <c:overlay val="0"/>
      <c:txPr>
        <a:bodyPr/>
        <a:lstStyle/>
        <a:p>
          <a:pPr>
            <a:defRPr sz="5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Arial" charset="0"/>
                <a:ea typeface="Arial" charset="0"/>
                <a:cs typeface="Arial" charset="0"/>
              </a:defRPr>
            </a:pPr>
            <a:r>
              <a:rPr lang="en-US" sz="1000">
                <a:latin typeface="Arial" charset="0"/>
                <a:ea typeface="Arial" charset="0"/>
                <a:cs typeface="Arial" charset="0"/>
              </a:rPr>
              <a:t>Inh-GAPLA</a:t>
            </a:r>
          </a:p>
        </c:rich>
      </c:tx>
      <c:layout>
        <c:manualLayout>
          <c:xMode val="edge"/>
          <c:yMode val="edge"/>
          <c:x val="0.40034873553941402"/>
          <c:y val="7.1181308460977394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Inh-GAPLA</c:v>
          </c:tx>
          <c:spPr>
            <a:ln w="22225">
              <a:solidFill>
                <a:schemeClr val="tx1"/>
              </a:solidFill>
            </a:ln>
          </c:spPr>
          <c:marker>
            <c:symbol val="square"/>
            <c:size val="3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ResultFormat!$B$111:$M$111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ResultFormat!$B$111:$M$111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minus>
            <c:spPr>
              <a:ln w="3175">
                <a:solidFill>
                  <a:srgbClr val="000000"/>
                </a:solidFill>
                <a:prstDash val="solid"/>
              </a:ln>
            </c:spPr>
          </c:errBars>
          <c:cat>
            <c:numRef>
              <c:f>ResultFormat!$B$84:$M$84</c:f>
              <c:numCache>
                <c:formatCode>#\ ???/??????</c:formatCode>
                <c:ptCount val="12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\ ???/?????">
                  <c:v>0</c:v>
                </c:pt>
                <c:pt idx="5" formatCode="#\ ???/?????">
                  <c:v>0</c:v>
                </c:pt>
                <c:pt idx="6" formatCode="#\ ???/?????">
                  <c:v>0</c:v>
                </c:pt>
                <c:pt idx="7" formatCode="#\ ???/?????">
                  <c:v>0</c:v>
                </c:pt>
                <c:pt idx="8" formatCode="#\ ???/?????">
                  <c:v>0</c:v>
                </c:pt>
                <c:pt idx="9" formatCode="#\ ???/?????">
                  <c:v>0</c:v>
                </c:pt>
                <c:pt idx="10" formatCode="#\ ???/?????">
                  <c:v>0</c:v>
                </c:pt>
                <c:pt idx="11" formatCode="#\ ???/?????">
                  <c:v>0</c:v>
                </c:pt>
              </c:numCache>
            </c:numRef>
          </c:cat>
          <c:val>
            <c:numRef>
              <c:f>ResultFormat!$B$110:$M$110</c:f>
              <c:numCache>
                <c:formatCode>0.000_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DB-1144-8D30-B6FBD5E112FF}"/>
            </c:ext>
          </c:extLst>
        </c:ser>
        <c:ser>
          <c:idx val="1"/>
          <c:order val="1"/>
          <c:tx>
            <c:v>0.05</c:v>
          </c:tx>
          <c:spPr>
            <a:ln w="12700" cap="rnd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ResultFormat!$B$140:$M$140</c:f>
              <c:numCache>
                <c:formatCode>General</c:formatCode>
                <c:ptCount val="12"/>
                <c:pt idx="0">
                  <c:v>0.05</c:v>
                </c:pt>
                <c:pt idx="1">
                  <c:v>0.05</c:v>
                </c:pt>
                <c:pt idx="2">
                  <c:v>0.05</c:v>
                </c:pt>
                <c:pt idx="3">
                  <c:v>0.05</c:v>
                </c:pt>
                <c:pt idx="4">
                  <c:v>0.05</c:v>
                </c:pt>
                <c:pt idx="5">
                  <c:v>0.05</c:v>
                </c:pt>
                <c:pt idx="6">
                  <c:v>0.05</c:v>
                </c:pt>
                <c:pt idx="7">
                  <c:v>0.05</c:v>
                </c:pt>
                <c:pt idx="8">
                  <c:v>0.05</c:v>
                </c:pt>
                <c:pt idx="9">
                  <c:v>0.05</c:v>
                </c:pt>
                <c:pt idx="10">
                  <c:v>0.05</c:v>
                </c:pt>
                <c:pt idx="11">
                  <c:v>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DB-1144-8D30-B6FBD5E112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0887264"/>
        <c:axId val="1837087440"/>
      </c:lineChart>
      <c:catAx>
        <c:axId val="1820887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37087440"/>
        <c:crosses val="autoZero"/>
        <c:auto val="1"/>
        <c:lblAlgn val="ctr"/>
        <c:lblOffset val="100"/>
        <c:noMultiLvlLbl val="0"/>
      </c:catAx>
      <c:valAx>
        <c:axId val="1837087440"/>
        <c:scaling>
          <c:orientation val="minMax"/>
          <c:max val="1.2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600"/>
                </a:pPr>
                <a:r>
                  <a:rPr lang="en-US" sz="600"/>
                  <a:t>Inh-GAPLA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_ " sourceLinked="0"/>
        <c:majorTickMark val="out"/>
        <c:minorTickMark val="none"/>
        <c:tickLblPos val="nextTo"/>
        <c:txPr>
          <a:bodyPr/>
          <a:lstStyle/>
          <a:p>
            <a:pPr>
              <a:defRPr sz="600"/>
            </a:pPr>
            <a:endParaRPr lang="ja-JP"/>
          </a:p>
        </c:txPr>
        <c:crossAx val="18208872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957546628985495"/>
          <c:y val="0.53125182268883098"/>
          <c:w val="0.120424543556875"/>
          <c:h val="0.24982817700885801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5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Arial" charset="0"/>
                <a:ea typeface="Arial" charset="0"/>
                <a:cs typeface="Arial" charset="0"/>
              </a:defRPr>
            </a:pPr>
            <a:r>
              <a:rPr lang="en-US" altLang="en-US" sz="1000">
                <a:latin typeface="Arial" charset="0"/>
                <a:ea typeface="Arial" charset="0"/>
                <a:cs typeface="Arial" charset="0"/>
              </a:rPr>
              <a:t>Ind-IL8LA </a:t>
            </a:r>
            <a:r>
              <a:rPr lang="en-US" altLang="ja-JP" sz="1000" b="1" i="0" u="none" strike="noStrike" baseline="0">
                <a:effectLst/>
                <a:latin typeface="Arial" charset="0"/>
                <a:ea typeface="Arial" charset="0"/>
                <a:cs typeface="Arial" charset="0"/>
              </a:rPr>
              <a:t>±</a:t>
            </a:r>
            <a:r>
              <a:rPr lang="ja-JP" altLang="ja-JP" sz="1000" b="1" i="0" u="none" strike="noStrike" baseline="0">
                <a:effectLst/>
                <a:latin typeface="Arial" charset="0"/>
                <a:ea typeface="Arial" charset="0"/>
                <a:cs typeface="Arial" charset="0"/>
              </a:rPr>
              <a:t> </a:t>
            </a:r>
            <a:r>
              <a:rPr lang="en-US" altLang="en-US" sz="1000" baseline="0">
                <a:latin typeface="Arial" charset="0"/>
                <a:ea typeface="Arial" charset="0"/>
                <a:cs typeface="Arial" charset="0"/>
              </a:rPr>
              <a:t> standard deviation</a:t>
            </a:r>
            <a:endParaRPr lang="en-US" altLang="en-US" sz="1000">
              <a:latin typeface="Arial" charset="0"/>
              <a:ea typeface="Arial" charset="0"/>
              <a:cs typeface="Arial" charset="0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Ind-IL8LA</c:v>
          </c:tx>
          <c:spPr>
            <a:ln w="22225">
              <a:solidFill>
                <a:schemeClr val="tx1"/>
              </a:solidFill>
            </a:ln>
          </c:spPr>
          <c:marker>
            <c:symbol val="square"/>
            <c:size val="3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ResultFormat!$B$113:$M$113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ResultFormat!$B$113:$M$113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minus>
            <c:spPr>
              <a:ln w="3175">
                <a:solidFill>
                  <a:srgbClr val="000000"/>
                </a:solidFill>
                <a:prstDash val="solid"/>
              </a:ln>
            </c:spPr>
          </c:errBars>
          <c:cat>
            <c:numRef>
              <c:f>ResultFormat!$B$84:$M$84</c:f>
              <c:numCache>
                <c:formatCode>#\ ???/??????</c:formatCode>
                <c:ptCount val="12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\ ???/?????">
                  <c:v>0</c:v>
                </c:pt>
                <c:pt idx="5" formatCode="#\ ???/?????">
                  <c:v>0</c:v>
                </c:pt>
                <c:pt idx="6" formatCode="#\ ???/?????">
                  <c:v>0</c:v>
                </c:pt>
                <c:pt idx="7" formatCode="#\ ???/?????">
                  <c:v>0</c:v>
                </c:pt>
                <c:pt idx="8" formatCode="#\ ???/?????">
                  <c:v>0</c:v>
                </c:pt>
                <c:pt idx="9" formatCode="#\ ???/?????">
                  <c:v>0</c:v>
                </c:pt>
                <c:pt idx="10" formatCode="#\ ???/?????">
                  <c:v>0</c:v>
                </c:pt>
                <c:pt idx="11" formatCode="#\ ???/?????">
                  <c:v>0</c:v>
                </c:pt>
              </c:numCache>
            </c:numRef>
          </c:cat>
          <c:val>
            <c:numRef>
              <c:f>ResultFormat!$B$112:$M$112</c:f>
              <c:numCache>
                <c:formatCode>0.000_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1E-E04E-9C03-7068CBC114A2}"/>
            </c:ext>
          </c:extLst>
        </c:ser>
        <c:ser>
          <c:idx val="1"/>
          <c:order val="1"/>
          <c:tx>
            <c:v>1.4</c:v>
          </c:tx>
          <c:spPr>
            <a:ln w="12700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ResultFormat!$B$142:$M$142</c:f>
              <c:numCache>
                <c:formatCode>General</c:formatCode>
                <c:ptCount val="12"/>
                <c:pt idx="0">
                  <c:v>1.4</c:v>
                </c:pt>
                <c:pt idx="1">
                  <c:v>1.4</c:v>
                </c:pt>
                <c:pt idx="2">
                  <c:v>1.4</c:v>
                </c:pt>
                <c:pt idx="3">
                  <c:v>1.4</c:v>
                </c:pt>
                <c:pt idx="4">
                  <c:v>1.4</c:v>
                </c:pt>
                <c:pt idx="5">
                  <c:v>1.4</c:v>
                </c:pt>
                <c:pt idx="6">
                  <c:v>1.4</c:v>
                </c:pt>
                <c:pt idx="7">
                  <c:v>1.4</c:v>
                </c:pt>
                <c:pt idx="8">
                  <c:v>1.4</c:v>
                </c:pt>
                <c:pt idx="9">
                  <c:v>1.4</c:v>
                </c:pt>
                <c:pt idx="10">
                  <c:v>1.4</c:v>
                </c:pt>
                <c:pt idx="11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1E-E04E-9C03-7068CBC114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9537904"/>
        <c:axId val="1788389776"/>
      </c:lineChart>
      <c:catAx>
        <c:axId val="1789537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500"/>
            </a:pPr>
            <a:endParaRPr lang="ja-JP"/>
          </a:p>
        </c:txPr>
        <c:crossAx val="1788389776"/>
        <c:crosses val="autoZero"/>
        <c:auto val="1"/>
        <c:lblAlgn val="ctr"/>
        <c:lblOffset val="100"/>
        <c:noMultiLvlLbl val="0"/>
      </c:catAx>
      <c:valAx>
        <c:axId val="1788389776"/>
        <c:scaling>
          <c:orientation val="minMax"/>
          <c:max val="6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600"/>
                </a:pPr>
                <a:r>
                  <a:rPr lang="en-US" altLang="en-US" sz="600"/>
                  <a:t>Ind-IL8LA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 " sourceLinked="0"/>
        <c:majorTickMark val="out"/>
        <c:minorTickMark val="out"/>
        <c:tickLblPos val="nextTo"/>
        <c:txPr>
          <a:bodyPr/>
          <a:lstStyle/>
          <a:p>
            <a:pPr>
              <a:defRPr sz="500"/>
            </a:pPr>
            <a:endParaRPr lang="ja-JP"/>
          </a:p>
        </c:txPr>
        <c:crossAx val="1789537904"/>
        <c:crosses val="autoZero"/>
        <c:crossBetween val="between"/>
        <c:minorUnit val="0.2"/>
      </c:valAx>
    </c:plotArea>
    <c:legend>
      <c:legendPos val="r"/>
      <c:layout>
        <c:manualLayout>
          <c:xMode val="edge"/>
          <c:yMode val="edge"/>
          <c:x val="0.87721419120130595"/>
          <c:y val="0.53125182268883098"/>
          <c:w val="0.122785837336156"/>
          <c:h val="0.24982817700885801"/>
        </c:manualLayout>
      </c:layout>
      <c:overlay val="0"/>
      <c:txPr>
        <a:bodyPr/>
        <a:lstStyle/>
        <a:p>
          <a:pPr>
            <a:defRPr sz="5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 b="1" i="0" u="none" strike="noStrike" kern="1200" baseline="0">
                <a:solidFill>
                  <a:sysClr val="windowText" lastClr="000000"/>
                </a:solidFill>
                <a:latin typeface="Arial" charset="0"/>
                <a:ea typeface="Arial" charset="0"/>
                <a:cs typeface="Arial" charset="0"/>
              </a:defRPr>
            </a:pPr>
            <a:r>
              <a:rPr lang="en-US" altLang="ja-JP" sz="1000" b="1" i="0" baseline="0">
                <a:effectLst/>
                <a:latin typeface="Arial" charset="0"/>
                <a:ea typeface="Arial" charset="0"/>
                <a:cs typeface="Arial" charset="0"/>
              </a:rPr>
              <a:t>Ind-IL8LA </a:t>
            </a:r>
            <a:r>
              <a:rPr lang="en-US" altLang="ja-JP" sz="1000" b="1" i="0" u="none" strike="noStrike" baseline="0">
                <a:effectLst/>
                <a:latin typeface="Arial" charset="0"/>
                <a:ea typeface="Arial" charset="0"/>
                <a:cs typeface="Arial" charset="0"/>
              </a:rPr>
              <a:t>±</a:t>
            </a:r>
            <a:r>
              <a:rPr lang="ja-JP" altLang="ja-JP" sz="1000" b="1" i="0" u="none" strike="noStrike" baseline="0">
                <a:effectLst/>
                <a:latin typeface="Arial" charset="0"/>
                <a:ea typeface="Arial" charset="0"/>
                <a:cs typeface="Arial" charset="0"/>
              </a:rPr>
              <a:t> </a:t>
            </a:r>
            <a:r>
              <a:rPr lang="en-US" altLang="ja-JP" sz="1000" b="1" i="0" baseline="0">
                <a:effectLst/>
                <a:latin typeface="Arial" charset="0"/>
                <a:ea typeface="Arial" charset="0"/>
                <a:cs typeface="Arial" charset="0"/>
              </a:rPr>
              <a:t> 95% confidence interval</a:t>
            </a:r>
          </a:p>
        </c:rich>
      </c:tx>
      <c:layout>
        <c:manualLayout>
          <c:xMode val="edge"/>
          <c:yMode val="edge"/>
          <c:x val="0.34054729273689199"/>
          <c:y val="2.627202091832089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8563264940070205E-2"/>
          <c:y val="0.167540272322421"/>
          <c:w val="0.83437758568816101"/>
          <c:h val="0.65255494436506001"/>
        </c:manualLayout>
      </c:layout>
      <c:stockChart>
        <c:ser>
          <c:idx val="0"/>
          <c:order val="0"/>
          <c:tx>
            <c:strRef>
              <c:f>Graph!$J$37</c:f>
              <c:strCache>
                <c:ptCount val="1"/>
                <c:pt idx="0">
                  <c:v>Ind-IL8LA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5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cat>
            <c:numRef>
              <c:f>ResultFormat!$B$84:$M$84</c:f>
              <c:numCache>
                <c:formatCode>#\ ???/??????</c:formatCode>
                <c:ptCount val="12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\ ???/?????">
                  <c:v>0</c:v>
                </c:pt>
                <c:pt idx="5" formatCode="#\ ???/?????">
                  <c:v>0</c:v>
                </c:pt>
                <c:pt idx="6" formatCode="#\ ???/?????">
                  <c:v>0</c:v>
                </c:pt>
                <c:pt idx="7" formatCode="#\ ???/?????">
                  <c:v>0</c:v>
                </c:pt>
                <c:pt idx="8" formatCode="#\ ???/?????">
                  <c:v>0</c:v>
                </c:pt>
                <c:pt idx="9" formatCode="#\ ???/?????">
                  <c:v>0</c:v>
                </c:pt>
                <c:pt idx="10" formatCode="#\ ???/?????">
                  <c:v>0</c:v>
                </c:pt>
                <c:pt idx="11" formatCode="#\ ???/?????">
                  <c:v>0</c:v>
                </c:pt>
              </c:numCache>
            </c:numRef>
          </c:cat>
          <c:val>
            <c:numRef>
              <c:f>Graph!$K$37:$V$37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8C-6643-B58E-047F12AD7D1D}"/>
            </c:ext>
          </c:extLst>
        </c:ser>
        <c:ser>
          <c:idx val="1"/>
          <c:order val="1"/>
          <c:tx>
            <c:strRef>
              <c:f>Graph!$J$38</c:f>
              <c:strCache>
                <c:ptCount val="1"/>
                <c:pt idx="0">
                  <c:v>lower limit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7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numRef>
              <c:f>ResultFormat!$B$84:$M$84</c:f>
              <c:numCache>
                <c:formatCode>#\ ???/??????</c:formatCode>
                <c:ptCount val="12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\ ???/?????">
                  <c:v>0</c:v>
                </c:pt>
                <c:pt idx="5" formatCode="#\ ???/?????">
                  <c:v>0</c:v>
                </c:pt>
                <c:pt idx="6" formatCode="#\ ???/?????">
                  <c:v>0</c:v>
                </c:pt>
                <c:pt idx="7" formatCode="#\ ???/?????">
                  <c:v>0</c:v>
                </c:pt>
                <c:pt idx="8" formatCode="#\ ???/?????">
                  <c:v>0</c:v>
                </c:pt>
                <c:pt idx="9" formatCode="#\ ???/?????">
                  <c:v>0</c:v>
                </c:pt>
                <c:pt idx="10" formatCode="#\ ???/?????">
                  <c:v>0</c:v>
                </c:pt>
                <c:pt idx="11" formatCode="#\ ???/?????">
                  <c:v>0</c:v>
                </c:pt>
              </c:numCache>
            </c:numRef>
          </c:cat>
          <c:val>
            <c:numRef>
              <c:f>Graph!$K$38:$V$38</c:f>
              <c:numCache>
                <c:formatCode>General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8C-6643-B58E-047F12AD7D1D}"/>
            </c:ext>
          </c:extLst>
        </c:ser>
        <c:ser>
          <c:idx val="2"/>
          <c:order val="2"/>
          <c:tx>
            <c:strRef>
              <c:f>Graph!$J$39</c:f>
              <c:strCache>
                <c:ptCount val="1"/>
                <c:pt idx="0">
                  <c:v>upper limit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7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numRef>
              <c:f>ResultFormat!$B$84:$M$84</c:f>
              <c:numCache>
                <c:formatCode>#\ ???/??????</c:formatCode>
                <c:ptCount val="12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\ ???/?????">
                  <c:v>0</c:v>
                </c:pt>
                <c:pt idx="5" formatCode="#\ ???/?????">
                  <c:v>0</c:v>
                </c:pt>
                <c:pt idx="6" formatCode="#\ ???/?????">
                  <c:v>0</c:v>
                </c:pt>
                <c:pt idx="7" formatCode="#\ ???/?????">
                  <c:v>0</c:v>
                </c:pt>
                <c:pt idx="8" formatCode="#\ ???/?????">
                  <c:v>0</c:v>
                </c:pt>
                <c:pt idx="9" formatCode="#\ ???/?????">
                  <c:v>0</c:v>
                </c:pt>
                <c:pt idx="10" formatCode="#\ ???/?????">
                  <c:v>0</c:v>
                </c:pt>
                <c:pt idx="11" formatCode="#\ ???/?????">
                  <c:v>0</c:v>
                </c:pt>
              </c:numCache>
            </c:numRef>
          </c:cat>
          <c:val>
            <c:numRef>
              <c:f>Graph!$K$39:$V$39</c:f>
              <c:numCache>
                <c:formatCode>General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8C-6643-B58E-047F12AD7D1D}"/>
            </c:ext>
          </c:extLst>
        </c:ser>
        <c:ser>
          <c:idx val="3"/>
          <c:order val="3"/>
          <c:tx>
            <c:v>1.4</c:v>
          </c:tx>
          <c:spPr>
            <a:ln w="12700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ResultFormat!$B$142:$M$142</c:f>
              <c:numCache>
                <c:formatCode>General</c:formatCode>
                <c:ptCount val="12"/>
                <c:pt idx="0">
                  <c:v>1.4</c:v>
                </c:pt>
                <c:pt idx="1">
                  <c:v>1.4</c:v>
                </c:pt>
                <c:pt idx="2">
                  <c:v>1.4</c:v>
                </c:pt>
                <c:pt idx="3">
                  <c:v>1.4</c:v>
                </c:pt>
                <c:pt idx="4">
                  <c:v>1.4</c:v>
                </c:pt>
                <c:pt idx="5">
                  <c:v>1.4</c:v>
                </c:pt>
                <c:pt idx="6">
                  <c:v>1.4</c:v>
                </c:pt>
                <c:pt idx="7">
                  <c:v>1.4</c:v>
                </c:pt>
                <c:pt idx="8">
                  <c:v>1.4</c:v>
                </c:pt>
                <c:pt idx="9">
                  <c:v>1.4</c:v>
                </c:pt>
                <c:pt idx="10">
                  <c:v>1.4</c:v>
                </c:pt>
                <c:pt idx="11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F8C-6643-B58E-047F12AD7D1D}"/>
            </c:ext>
          </c:extLst>
        </c:ser>
        <c:ser>
          <c:idx val="4"/>
          <c:order val="4"/>
          <c:tx>
            <c:v>1</c:v>
          </c:tx>
          <c:spPr>
            <a:ln w="12700">
              <a:solidFill>
                <a:srgbClr val="FF0000"/>
              </a:solidFill>
              <a:prstDash val="dash"/>
            </a:ln>
          </c:spPr>
          <c:marker>
            <c:symbol val="none"/>
          </c:marker>
          <c:val>
            <c:numRef>
              <c:f>ResultFormat!$B$143:$M$143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F8C-6643-B58E-047F12AD7D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0380080"/>
        <c:axId val="1766684432"/>
      </c:stockChart>
      <c:catAx>
        <c:axId val="1820380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600"/>
                </a:pPr>
                <a:r>
                  <a:rPr lang="en-US" altLang="ja-JP" sz="600"/>
                  <a:t>dilution</a:t>
                </a:r>
                <a:endParaRPr lang="ja-JP" altLang="en-US" sz="600"/>
              </a:p>
            </c:rich>
          </c:tx>
          <c:layout>
            <c:manualLayout>
              <c:xMode val="edge"/>
              <c:yMode val="edge"/>
              <c:x val="0.92738167667494897"/>
              <c:y val="0.8542950961652500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/>
          <a:lstStyle/>
          <a:p>
            <a:pPr>
              <a:defRPr sz="500"/>
            </a:pPr>
            <a:endParaRPr lang="ja-JP"/>
          </a:p>
        </c:txPr>
        <c:crossAx val="1766684432"/>
        <c:crosses val="autoZero"/>
        <c:auto val="1"/>
        <c:lblAlgn val="ctr"/>
        <c:lblOffset val="100"/>
        <c:noMultiLvlLbl val="0"/>
      </c:catAx>
      <c:valAx>
        <c:axId val="1766684432"/>
        <c:scaling>
          <c:orientation val="minMax"/>
          <c:max val="6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600"/>
                </a:pPr>
                <a:r>
                  <a:rPr lang="en-US" altLang="ja-JP" sz="600"/>
                  <a:t>Ind-IL8LA</a:t>
                </a:r>
              </a:p>
            </c:rich>
          </c:tx>
          <c:overlay val="0"/>
        </c:title>
        <c:numFmt formatCode="General" sourceLinked="1"/>
        <c:majorTickMark val="none"/>
        <c:minorTickMark val="out"/>
        <c:tickLblPos val="nextTo"/>
        <c:txPr>
          <a:bodyPr/>
          <a:lstStyle/>
          <a:p>
            <a:pPr>
              <a:defRPr sz="600"/>
            </a:pPr>
            <a:endParaRPr lang="ja-JP"/>
          </a:p>
        </c:txPr>
        <c:crossAx val="1820380080"/>
        <c:crosses val="autoZero"/>
        <c:crossBetween val="between"/>
        <c:majorUnit val="1"/>
        <c:minorUnit val="0.2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LED</a:t>
            </a:r>
          </a:p>
        </c:rich>
      </c:tx>
      <c:layout>
        <c:manualLayout>
          <c:xMode val="edge"/>
          <c:yMode val="edge"/>
          <c:x val="0.44951208460505998"/>
          <c:y val="4.08163265306122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641728008754598"/>
          <c:y val="0.14693877551020401"/>
          <c:w val="0.631922850034626"/>
          <c:h val="0.61632653061224396"/>
        </c:manualLayout>
      </c:layout>
      <c:barChart>
        <c:barDir val="col"/>
        <c:grouping val="clustered"/>
        <c:varyColors val="0"/>
        <c:ser>
          <c:idx val="1"/>
          <c:order val="0"/>
          <c:tx>
            <c:v>F2/F0</c:v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6F0-B140-87C0-724C10E1AD36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6F0-B140-87C0-724C10E1AD36}"/>
              </c:ext>
            </c:extLst>
          </c:dPt>
          <c:dPt>
            <c:idx val="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6F0-B140-87C0-724C10E1AD36}"/>
              </c:ext>
            </c:extLst>
          </c:dPt>
          <c:cat>
            <c:strRef>
              <c:f>LED!$O$22:$O$24</c:f>
              <c:strCache>
                <c:ptCount val="3"/>
                <c:pt idx="0">
                  <c:v>Red</c:v>
                </c:pt>
                <c:pt idx="1">
                  <c:v>Green</c:v>
                </c:pt>
                <c:pt idx="2">
                  <c:v>Blue</c:v>
                </c:pt>
              </c:strCache>
            </c:strRef>
          </c:cat>
          <c:val>
            <c:numRef>
              <c:f>LED!$R$22:$R$24</c:f>
              <c:numCache>
                <c:formatCode>0.000_ 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6F0-B140-87C0-724C10E1AD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5445488"/>
        <c:axId val="1865862464"/>
      </c:barChart>
      <c:catAx>
        <c:axId val="18654454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865862464"/>
        <c:crosses val="autoZero"/>
        <c:auto val="1"/>
        <c:lblAlgn val="ctr"/>
        <c:lblOffset val="100"/>
        <c:tickMarkSkip val="1"/>
        <c:noMultiLvlLbl val="0"/>
      </c:catAx>
      <c:valAx>
        <c:axId val="186586246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F2/F0</a:t>
                </a:r>
              </a:p>
            </c:rich>
          </c:tx>
          <c:layout>
            <c:manualLayout>
              <c:xMode val="edge"/>
              <c:yMode val="edge"/>
              <c:x val="1.62866449511401E-2"/>
              <c:y val="0.38367346938775598"/>
            </c:manualLayout>
          </c:layout>
          <c:overlay val="0"/>
          <c:spPr>
            <a:noFill/>
            <a:ln w="25400">
              <a:noFill/>
            </a:ln>
          </c:spPr>
        </c:title>
        <c:numFmt formatCode="0.00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8654454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ln w="3175">
            <a:solidFill>
              <a:srgbClr val="000000"/>
            </a:solidFill>
            <a:prstDash val="solid"/>
          </a:ln>
        </c:spPr>
      </c:dTable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+mn-lt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LED</a:t>
            </a:r>
          </a:p>
        </c:rich>
      </c:tx>
      <c:layout>
        <c:manualLayout>
          <c:xMode val="edge"/>
          <c:yMode val="edge"/>
          <c:x val="0.449512248468941"/>
          <c:y val="4.04858435248785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493362483882799"/>
          <c:y val="0.14574927597829401"/>
          <c:w val="0.71620811004755103"/>
          <c:h val="0.51821964792282305"/>
        </c:manualLayout>
      </c:layout>
      <c:barChart>
        <c:barDir val="col"/>
        <c:grouping val="clustered"/>
        <c:varyColors val="0"/>
        <c:ser>
          <c:idx val="0"/>
          <c:order val="0"/>
          <c:tx>
            <c:v>F0</c:v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6E8-4F45-9DFF-3D5159AD5D0B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6E8-4F45-9DFF-3D5159AD5D0B}"/>
              </c:ext>
            </c:extLst>
          </c:dPt>
          <c:dPt>
            <c:idx val="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6E8-4F45-9DFF-3D5159AD5D0B}"/>
              </c:ext>
            </c:extLst>
          </c:dPt>
          <c:cat>
            <c:strRef>
              <c:f>LED!$O$22:$O$24</c:f>
              <c:strCache>
                <c:ptCount val="3"/>
                <c:pt idx="0">
                  <c:v>Red</c:v>
                </c:pt>
                <c:pt idx="1">
                  <c:v>Green</c:v>
                </c:pt>
                <c:pt idx="2">
                  <c:v>Blue</c:v>
                </c:pt>
              </c:strCache>
            </c:strRef>
          </c:cat>
          <c:val>
            <c:numRef>
              <c:f>LED!$G$9:$G$11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6-16E8-4F45-9DFF-3D5159AD5D0B}"/>
            </c:ext>
          </c:extLst>
        </c:ser>
        <c:ser>
          <c:idx val="1"/>
          <c:order val="1"/>
          <c:tx>
            <c:v>F2</c:v>
          </c:tx>
          <c:spPr>
            <a:solidFill>
              <a:srgbClr val="8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16E8-4F45-9DFF-3D5159AD5D0B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16E8-4F45-9DFF-3D5159AD5D0B}"/>
              </c:ext>
            </c:extLst>
          </c:dPt>
          <c:dPt>
            <c:idx val="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16E8-4F45-9DFF-3D5159AD5D0B}"/>
              </c:ext>
            </c:extLst>
          </c:dPt>
          <c:cat>
            <c:strRef>
              <c:f>LED!$O$22:$O$24</c:f>
              <c:strCache>
                <c:ptCount val="3"/>
                <c:pt idx="0">
                  <c:v>Red</c:v>
                </c:pt>
                <c:pt idx="1">
                  <c:v>Green</c:v>
                </c:pt>
                <c:pt idx="2">
                  <c:v>Blue</c:v>
                </c:pt>
              </c:strCache>
            </c:strRef>
          </c:cat>
          <c:val>
            <c:numRef>
              <c:f>LED!$G$20:$G$22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D-16E8-4F45-9DFF-3D5159AD5D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0"/>
        <c:axId val="1836910992"/>
        <c:axId val="1830013248"/>
      </c:barChart>
      <c:catAx>
        <c:axId val="18369109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830013248"/>
        <c:crosses val="autoZero"/>
        <c:auto val="1"/>
        <c:lblAlgn val="ctr"/>
        <c:lblOffset val="100"/>
        <c:tickMarkSkip val="1"/>
        <c:noMultiLvlLbl val="0"/>
      </c:catAx>
      <c:valAx>
        <c:axId val="183001324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counts/3sec</a:t>
                </a:r>
              </a:p>
            </c:rich>
          </c:tx>
          <c:layout>
            <c:manualLayout>
              <c:xMode val="edge"/>
              <c:yMode val="edge"/>
              <c:x val="1.6286636045494299E-2"/>
              <c:y val="0.263158541352544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836910992"/>
        <c:crosses val="autoZero"/>
        <c:crossBetween val="between"/>
      </c:valAx>
      <c:dTable>
        <c:showHorzBorder val="0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</c:dTable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+mn-lt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" footer="0.5"/>
    <c:pageSetup orientation="landscape" horizontalDpi="300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ＭＳ Ｐゴシック"/>
                <a:cs typeface="Arial" panose="020B0604020202020204" pitchFamily="34" charset="0"/>
              </a:defRPr>
            </a:pPr>
            <a:r>
              <a:rPr lang="en-US" altLang="en-US">
                <a:latin typeface="Arial" panose="020B0604020202020204" pitchFamily="34" charset="0"/>
                <a:cs typeface="Arial" panose="020B0604020202020204" pitchFamily="34" charset="0"/>
              </a:rPr>
              <a:t>Result for each well</a:t>
            </a:r>
          </a:p>
        </c:rich>
      </c:tx>
      <c:layout>
        <c:manualLayout>
          <c:xMode val="edge"/>
          <c:yMode val="edge"/>
          <c:x val="0.33236212820336197"/>
          <c:y val="4.20560747663551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75827481305101"/>
          <c:y val="0.17757049861843499"/>
          <c:w val="0.60933031348270295"/>
          <c:h val="0.4579449701212259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Control!$B$35</c:f>
              <c:strCache>
                <c:ptCount val="1"/>
                <c:pt idx="0">
                  <c:v>SLO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Control!$C$34:$H$34</c:f>
              <c:strCache>
                <c:ptCount val="6"/>
                <c:pt idx="0">
                  <c:v>O&amp;R 1/1</c:v>
                </c:pt>
                <c:pt idx="1">
                  <c:v>O&amp;R 1/1</c:v>
                </c:pt>
                <c:pt idx="2">
                  <c:v>O&amp;R 1/1</c:v>
                </c:pt>
                <c:pt idx="3">
                  <c:v>O&amp;R 1/10</c:v>
                </c:pt>
                <c:pt idx="4">
                  <c:v>O&amp;R 1/10</c:v>
                </c:pt>
                <c:pt idx="5">
                  <c:v>O&amp;R 1/10</c:v>
                </c:pt>
              </c:strCache>
            </c:strRef>
          </c:cat>
          <c:val>
            <c:numRef>
              <c:f>Control!$C$35:$H$35</c:f>
              <c:numCache>
                <c:formatCode>#,##0_ 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4E-3C44-9BC4-8D23CFB6742F}"/>
            </c:ext>
          </c:extLst>
        </c:ser>
        <c:ser>
          <c:idx val="0"/>
          <c:order val="1"/>
          <c:tx>
            <c:strRef>
              <c:f>Control!$B$36</c:f>
              <c:strCache>
                <c:ptCount val="1"/>
                <c:pt idx="0">
                  <c:v>SLR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Control!$C$34:$H$34</c:f>
              <c:strCache>
                <c:ptCount val="6"/>
                <c:pt idx="0">
                  <c:v>O&amp;R 1/1</c:v>
                </c:pt>
                <c:pt idx="1">
                  <c:v>O&amp;R 1/1</c:v>
                </c:pt>
                <c:pt idx="2">
                  <c:v>O&amp;R 1/1</c:v>
                </c:pt>
                <c:pt idx="3">
                  <c:v>O&amp;R 1/10</c:v>
                </c:pt>
                <c:pt idx="4">
                  <c:v>O&amp;R 1/10</c:v>
                </c:pt>
                <c:pt idx="5">
                  <c:v>O&amp;R 1/10</c:v>
                </c:pt>
              </c:strCache>
            </c:strRef>
          </c:cat>
          <c:val>
            <c:numRef>
              <c:f>Control!$C$36:$H$36</c:f>
              <c:numCache>
                <c:formatCode>#,##0_ 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4E-3C44-9BC4-8D23CFB674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7082784"/>
        <c:axId val="1809060720"/>
      </c:barChart>
      <c:lineChart>
        <c:grouping val="standard"/>
        <c:varyColors val="0"/>
        <c:ser>
          <c:idx val="2"/>
          <c:order val="2"/>
          <c:tx>
            <c:strRef>
              <c:f>Control!$B$37</c:f>
              <c:strCache>
                <c:ptCount val="1"/>
                <c:pt idx="0">
                  <c:v>Ratio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strRef>
              <c:f>Control!$C$34:$H$34</c:f>
              <c:strCache>
                <c:ptCount val="6"/>
                <c:pt idx="0">
                  <c:v>O&amp;R 1/1</c:v>
                </c:pt>
                <c:pt idx="1">
                  <c:v>O&amp;R 1/1</c:v>
                </c:pt>
                <c:pt idx="2">
                  <c:v>O&amp;R 1/1</c:v>
                </c:pt>
                <c:pt idx="3">
                  <c:v>O&amp;R 1/10</c:v>
                </c:pt>
                <c:pt idx="4">
                  <c:v>O&amp;R 1/10</c:v>
                </c:pt>
                <c:pt idx="5">
                  <c:v>O&amp;R 1/10</c:v>
                </c:pt>
              </c:strCache>
            </c:strRef>
          </c:cat>
          <c:val>
            <c:numRef>
              <c:f>Control!$C$37:$H$37</c:f>
              <c:numCache>
                <c:formatCode>0.00_ 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4E-3C44-9BC4-8D23CFB674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9460064"/>
        <c:axId val="1836065888"/>
      </c:lineChart>
      <c:catAx>
        <c:axId val="18370827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ＭＳ Ｐゴシック"/>
                <a:cs typeface="Arial" panose="020B0604020202020204" pitchFamily="34" charset="0"/>
              </a:defRPr>
            </a:pPr>
            <a:endParaRPr lang="ja-JP"/>
          </a:p>
        </c:txPr>
        <c:crossAx val="18090607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0906072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ＭＳ Ｐゴシック"/>
                    <a:cs typeface="Arial" panose="020B0604020202020204" pitchFamily="34" charset="0"/>
                  </a:defRPr>
                </a:pPr>
                <a:r>
                  <a:rPr lang="en-US" altLang="en-US">
                    <a:latin typeface="Arial" panose="020B0604020202020204" pitchFamily="34" charset="0"/>
                    <a:cs typeface="Arial" panose="020B0604020202020204" pitchFamily="34" charset="0"/>
                  </a:rPr>
                  <a:t>counts</a:t>
                </a:r>
              </a:p>
            </c:rich>
          </c:tx>
          <c:layout>
            <c:manualLayout>
              <c:xMode val="edge"/>
              <c:yMode val="edge"/>
              <c:x val="2.3323615160349798E-2"/>
              <c:y val="0.3084117055461529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ＭＳ Ｐゴシック"/>
                <a:cs typeface="Arial" panose="020B0604020202020204" pitchFamily="34" charset="0"/>
              </a:defRPr>
            </a:pPr>
            <a:endParaRPr lang="ja-JP"/>
          </a:p>
        </c:txPr>
        <c:crossAx val="1837082784"/>
        <c:crosses val="autoZero"/>
        <c:crossBetween val="between"/>
      </c:valAx>
      <c:catAx>
        <c:axId val="1789460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36065888"/>
        <c:crosses val="autoZero"/>
        <c:auto val="0"/>
        <c:lblAlgn val="ctr"/>
        <c:lblOffset val="100"/>
        <c:noMultiLvlLbl val="0"/>
      </c:catAx>
      <c:valAx>
        <c:axId val="1836065888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ＭＳ Ｐゴシック"/>
                    <a:cs typeface="Arial" panose="020B0604020202020204" pitchFamily="34" charset="0"/>
                  </a:defRPr>
                </a:pPr>
                <a:r>
                  <a:rPr lang="ja-JP" altLang="en-US" sz="1000" b="0" i="0" strike="noStrike">
                    <a:solidFill>
                      <a:srgbClr val="008000"/>
                    </a:solidFill>
                    <a:latin typeface="Arial" panose="020B0604020202020204" pitchFamily="34" charset="0"/>
                    <a:ea typeface="ＭＳ Ｐゴシック"/>
                    <a:cs typeface="Arial" panose="020B0604020202020204" pitchFamily="34" charset="0"/>
                  </a:rPr>
                  <a:t>比（</a:t>
                </a:r>
                <a:r>
                  <a:rPr lang="en-US" altLang="ja-JP" sz="1000" b="0" i="0" strike="noStrike">
                    <a:solidFill>
                      <a:srgbClr val="008000"/>
                    </a:solidFill>
                    <a:latin typeface="Arial" panose="020B0604020202020204" pitchFamily="34" charset="0"/>
                    <a:ea typeface="ＭＳ Ｐゴシック"/>
                    <a:cs typeface="Arial" panose="020B0604020202020204" pitchFamily="34" charset="0"/>
                  </a:rPr>
                  <a:t>O/R</a:t>
                </a:r>
                <a:r>
                  <a:rPr lang="ja-JP" altLang="en-US" sz="1000" b="0" i="0" strike="noStrike">
                    <a:solidFill>
                      <a:srgbClr val="008000"/>
                    </a:solidFill>
                    <a:latin typeface="Arial" panose="020B0604020202020204" pitchFamily="34" charset="0"/>
                    <a:ea typeface="ＭＳ Ｐゴシック"/>
                    <a:cs typeface="Arial" panose="020B0604020202020204" pitchFamily="34" charset="0"/>
                  </a:rPr>
                  <a:t>）</a:t>
                </a:r>
              </a:p>
            </c:rich>
          </c:tx>
          <c:layout>
            <c:manualLayout>
              <c:xMode val="edge"/>
              <c:yMode val="edge"/>
              <c:x val="0.88629860043004904"/>
              <c:y val="0.28037432236858301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none"/>
        <c:tickLblPos val="nextTo"/>
        <c:spPr>
          <a:ln w="3175">
            <a:solidFill>
              <a:srgbClr val="008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8000"/>
                </a:solidFill>
                <a:latin typeface="Arial" panose="020B0604020202020204" pitchFamily="34" charset="0"/>
                <a:ea typeface="ＭＳ Ｐゴシック"/>
                <a:cs typeface="Arial" panose="020B0604020202020204" pitchFamily="34" charset="0"/>
              </a:defRPr>
            </a:pPr>
            <a:endParaRPr lang="ja-JP"/>
          </a:p>
        </c:txPr>
        <c:crossAx val="1789460064"/>
        <c:crosses val="max"/>
        <c:crossBetween val="between"/>
      </c:valAx>
      <c:spPr>
        <a:solidFill>
          <a:srgbClr val="80808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6765072733256"/>
          <c:y val="0.71028184561042096"/>
          <c:w val="0.18658922736698699"/>
          <c:h val="0.228972453209704"/>
        </c:manualLayout>
      </c:layout>
      <c:overlay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C0C0C0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FF0000"/>
                </a:solidFill>
                <a:latin typeface="Arial" panose="020B0604020202020204" pitchFamily="34" charset="0"/>
                <a:ea typeface="ＭＳ Ｐゴシック"/>
                <a:cs typeface="Arial" panose="020B0604020202020204" pitchFamily="34" charset="0"/>
              </a:defRPr>
            </a:pPr>
            <a:r>
              <a:rPr lang="en-US" altLang="en-US">
                <a:latin typeface="Arial" panose="020B0604020202020204" pitchFamily="34" charset="0"/>
                <a:cs typeface="Arial" panose="020B0604020202020204" pitchFamily="34" charset="0"/>
              </a:rPr>
              <a:t>【mixed reference sample】</a:t>
            </a:r>
          </a:p>
        </c:rich>
      </c:tx>
      <c:layout>
        <c:manualLayout>
          <c:xMode val="edge"/>
          <c:yMode val="edge"/>
          <c:x val="0.19081309182641901"/>
          <c:y val="3.95256916996047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727947507087001"/>
          <c:y val="0.166008225528474"/>
          <c:w val="0.59717417522598204"/>
          <c:h val="0.5019772533837190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Control!$B$35</c:f>
              <c:strCache>
                <c:ptCount val="1"/>
                <c:pt idx="0">
                  <c:v>SLO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rrBars>
            <c:errBarType val="plus"/>
            <c:errValType val="cust"/>
            <c:noEndCap val="0"/>
            <c:plus>
              <c:numRef>
                <c:f>Control!$K$35:$L$35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strRef>
              <c:f>Control!$I$34:$J$34</c:f>
              <c:strCache>
                <c:ptCount val="2"/>
                <c:pt idx="0">
                  <c:v>Ave1/1</c:v>
                </c:pt>
                <c:pt idx="1">
                  <c:v>Ave 1/10</c:v>
                </c:pt>
              </c:strCache>
            </c:strRef>
          </c:cat>
          <c:val>
            <c:numRef>
              <c:f>Control!$I$35:$J$35</c:f>
              <c:numCache>
                <c:formatCode>#,##0_ 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32-9842-B0FE-DEF148E815E0}"/>
            </c:ext>
          </c:extLst>
        </c:ser>
        <c:ser>
          <c:idx val="0"/>
          <c:order val="1"/>
          <c:tx>
            <c:strRef>
              <c:f>Control!$B$36</c:f>
              <c:strCache>
                <c:ptCount val="1"/>
                <c:pt idx="0">
                  <c:v>SLR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rrBars>
            <c:errBarType val="plus"/>
            <c:errValType val="cust"/>
            <c:noEndCap val="0"/>
            <c:plus>
              <c:numRef>
                <c:f>Control!$K$36:$L$36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strRef>
              <c:f>Control!$I$34:$J$34</c:f>
              <c:strCache>
                <c:ptCount val="2"/>
                <c:pt idx="0">
                  <c:v>Ave1/1</c:v>
                </c:pt>
                <c:pt idx="1">
                  <c:v>Ave 1/10</c:v>
                </c:pt>
              </c:strCache>
            </c:strRef>
          </c:cat>
          <c:val>
            <c:numRef>
              <c:f>Control!$I$36:$J$36</c:f>
              <c:numCache>
                <c:formatCode>#,##0_ 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32-9842-B0FE-DEF148E815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6077088"/>
        <c:axId val="1823251184"/>
      </c:barChart>
      <c:lineChart>
        <c:grouping val="standard"/>
        <c:varyColors val="0"/>
        <c:ser>
          <c:idx val="2"/>
          <c:order val="2"/>
          <c:tx>
            <c:strRef>
              <c:f>Control!$B$37</c:f>
              <c:strCache>
                <c:ptCount val="1"/>
                <c:pt idx="0">
                  <c:v>Ratio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Control!$K$37:$L$37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Control!$K$37:$L$37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strRef>
              <c:f>Control!$I$34:$J$34</c:f>
              <c:strCache>
                <c:ptCount val="2"/>
                <c:pt idx="0">
                  <c:v>Ave1/1</c:v>
                </c:pt>
                <c:pt idx="1">
                  <c:v>Ave 1/10</c:v>
                </c:pt>
              </c:strCache>
            </c:strRef>
          </c:cat>
          <c:val>
            <c:numRef>
              <c:f>Control!$I$37:$J$37</c:f>
              <c:numCache>
                <c:formatCode>0.00_ 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32-9842-B0FE-DEF148E815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2668208"/>
        <c:axId val="1806542640"/>
      </c:lineChart>
      <c:catAx>
        <c:axId val="1836077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ＭＳ Ｐゴシック"/>
                <a:cs typeface="Arial" panose="020B0604020202020204" pitchFamily="34" charset="0"/>
              </a:defRPr>
            </a:pPr>
            <a:endParaRPr lang="ja-JP"/>
          </a:p>
        </c:txPr>
        <c:crossAx val="18232511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2325118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ＭＳ Ｐゴシック"/>
                    <a:cs typeface="Arial" panose="020B0604020202020204" pitchFamily="34" charset="0"/>
                  </a:defRPr>
                </a:pPr>
                <a:r>
                  <a:rPr lang="en-US" altLang="en-US">
                    <a:latin typeface="Arial" panose="020B0604020202020204" pitchFamily="34" charset="0"/>
                    <a:cs typeface="Arial" panose="020B0604020202020204" pitchFamily="34" charset="0"/>
                  </a:rPr>
                  <a:t>counts</a:t>
                </a:r>
              </a:p>
            </c:rich>
          </c:tx>
          <c:layout>
            <c:manualLayout>
              <c:xMode val="edge"/>
              <c:yMode val="edge"/>
              <c:x val="2.1201413427561901E-2"/>
              <c:y val="0.33201664021246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ＭＳ Ｐゴシック"/>
                <a:cs typeface="Arial" panose="020B0604020202020204" pitchFamily="34" charset="0"/>
              </a:defRPr>
            </a:pPr>
            <a:endParaRPr lang="ja-JP"/>
          </a:p>
        </c:txPr>
        <c:crossAx val="1836077088"/>
        <c:crosses val="autoZero"/>
        <c:crossBetween val="between"/>
      </c:valAx>
      <c:catAx>
        <c:axId val="1792668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06542640"/>
        <c:crosses val="autoZero"/>
        <c:auto val="0"/>
        <c:lblAlgn val="ctr"/>
        <c:lblOffset val="100"/>
        <c:noMultiLvlLbl val="0"/>
      </c:catAx>
      <c:valAx>
        <c:axId val="1806542640"/>
        <c:scaling>
          <c:orientation val="minMax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ＭＳ Ｐゴシック"/>
                    <a:cs typeface="Arial" panose="020B0604020202020204" pitchFamily="34" charset="0"/>
                  </a:defRPr>
                </a:pPr>
                <a:r>
                  <a:rPr lang="en-US" altLang="ja-JP" sz="1000" b="0" i="0" strike="noStrike">
                    <a:solidFill>
                      <a:srgbClr val="008000"/>
                    </a:solidFill>
                    <a:latin typeface="Arial" panose="020B0604020202020204" pitchFamily="34" charset="0"/>
                    <a:ea typeface="ＭＳ Ｐゴシック"/>
                    <a:cs typeface="Arial" panose="020B0604020202020204" pitchFamily="34" charset="0"/>
                  </a:rPr>
                  <a:t>ratio</a:t>
                </a:r>
                <a:r>
                  <a:rPr lang="ja-JP" altLang="en-US" sz="1000" b="0" i="0" strike="noStrike">
                    <a:solidFill>
                      <a:srgbClr val="008000"/>
                    </a:solidFill>
                    <a:latin typeface="Arial" panose="020B0604020202020204" pitchFamily="34" charset="0"/>
                    <a:ea typeface="ＭＳ Ｐゴシック"/>
                    <a:cs typeface="Arial" panose="020B0604020202020204" pitchFamily="34" charset="0"/>
                  </a:rPr>
                  <a:t>（</a:t>
                </a:r>
                <a:r>
                  <a:rPr lang="en-US" altLang="ja-JP" sz="1000" b="0" i="0" strike="noStrike">
                    <a:solidFill>
                      <a:srgbClr val="008000"/>
                    </a:solidFill>
                    <a:latin typeface="Arial" panose="020B0604020202020204" pitchFamily="34" charset="0"/>
                    <a:ea typeface="ＭＳ Ｐゴシック"/>
                    <a:cs typeface="Arial" panose="020B0604020202020204" pitchFamily="34" charset="0"/>
                  </a:rPr>
                  <a:t>O/R</a:t>
                </a:r>
                <a:r>
                  <a:rPr lang="ja-JP" altLang="en-US" sz="1000" b="0" i="0" strike="noStrike">
                    <a:solidFill>
                      <a:srgbClr val="008000"/>
                    </a:solidFill>
                    <a:latin typeface="Arial" panose="020B0604020202020204" pitchFamily="34" charset="0"/>
                    <a:ea typeface="ＭＳ Ｐゴシック"/>
                    <a:cs typeface="Arial" panose="020B0604020202020204" pitchFamily="34" charset="0"/>
                  </a:rPr>
                  <a:t>）</a:t>
                </a:r>
              </a:p>
            </c:rich>
          </c:tx>
          <c:layout>
            <c:manualLayout>
              <c:xMode val="edge"/>
              <c:yMode val="edge"/>
              <c:x val="0.90106155458482895"/>
              <c:y val="0.28063282603508499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none"/>
        <c:tickLblPos val="nextTo"/>
        <c:spPr>
          <a:ln w="3175">
            <a:solidFill>
              <a:srgbClr val="008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8000"/>
                </a:solidFill>
                <a:latin typeface="Arial" panose="020B0604020202020204" pitchFamily="34" charset="0"/>
                <a:ea typeface="ＭＳ Ｐゴシック"/>
                <a:cs typeface="Arial" panose="020B0604020202020204" pitchFamily="34" charset="0"/>
              </a:defRPr>
            </a:pPr>
            <a:endParaRPr lang="ja-JP"/>
          </a:p>
        </c:txPr>
        <c:crossAx val="1792668208"/>
        <c:crosses val="max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791630728137802"/>
          <c:y val="0.75494237133401798"/>
          <c:w val="0.24028305649073001"/>
          <c:h val="0.197628873465915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8100">
      <a:pattFill prst="pct50">
        <a:fgClr>
          <a:srgbClr val="FF0000"/>
        </a:fgClr>
        <a:bgClr>
          <a:srgbClr val="FFFFFF"/>
        </a:bgClr>
      </a:patt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FF0000"/>
                </a:solidFill>
                <a:latin typeface="Arial" panose="020B0604020202020204" pitchFamily="34" charset="0"/>
                <a:ea typeface="ＭＳ Ｐゴシック"/>
                <a:cs typeface="Arial" panose="020B0604020202020204" pitchFamily="34" charset="0"/>
              </a:defRPr>
            </a:pPr>
            <a:r>
              <a:rPr lang="en-US" altLang="en-US">
                <a:latin typeface="Arial" panose="020B0604020202020204" pitchFamily="34" charset="0"/>
                <a:cs typeface="Arial" panose="020B0604020202020204" pitchFamily="34" charset="0"/>
              </a:rPr>
              <a:t>Linearity of the detector</a:t>
            </a:r>
          </a:p>
        </c:rich>
      </c:tx>
      <c:layout>
        <c:manualLayout>
          <c:xMode val="edge"/>
          <c:yMode val="edge"/>
          <c:x val="0.20972644376899699"/>
          <c:y val="5.40540540540540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413373860182401"/>
          <c:y val="0.18532853471987901"/>
          <c:w val="0.79331306990881401"/>
          <c:h val="0.63320582695958705"/>
        </c:manualLayout>
      </c:layout>
      <c:scatterChart>
        <c:scatterStyle val="lineMarker"/>
        <c:varyColors val="0"/>
        <c:ser>
          <c:idx val="0"/>
          <c:order val="0"/>
          <c:tx>
            <c:strRef>
              <c:f>Transmittance!$A$30</c:f>
              <c:strCache>
                <c:ptCount val="1"/>
                <c:pt idx="0">
                  <c:v>SLO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strRef>
              <c:f>Transmittance!$B$31:$B$34</c:f>
              <c:strCache>
                <c:ptCount val="4"/>
                <c:pt idx="0">
                  <c:v>1/1</c:v>
                </c:pt>
                <c:pt idx="1">
                  <c:v>1/4</c:v>
                </c:pt>
                <c:pt idx="2">
                  <c:v>1/16</c:v>
                </c:pt>
                <c:pt idx="3">
                  <c:v>1/64</c:v>
                </c:pt>
              </c:strCache>
            </c:strRef>
          </c:xVal>
          <c:yVal>
            <c:numRef>
              <c:f>Transmittance!$E$31:$E$34</c:f>
              <c:numCache>
                <c:formatCode>0.000_ 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5BE-8749-8238-2DB63166221A}"/>
            </c:ext>
          </c:extLst>
        </c:ser>
        <c:ser>
          <c:idx val="1"/>
          <c:order val="1"/>
          <c:tx>
            <c:strRef>
              <c:f>Transmittance!$A$37</c:f>
              <c:strCache>
                <c:ptCount val="1"/>
                <c:pt idx="0">
                  <c:v>SLR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strRef>
              <c:f>Transmittance!$B$38:$B$41</c:f>
              <c:strCache>
                <c:ptCount val="4"/>
                <c:pt idx="0">
                  <c:v>1/1</c:v>
                </c:pt>
                <c:pt idx="1">
                  <c:v>1/4</c:v>
                </c:pt>
                <c:pt idx="2">
                  <c:v>1/16</c:v>
                </c:pt>
                <c:pt idx="3">
                  <c:v>1/64</c:v>
                </c:pt>
              </c:strCache>
            </c:strRef>
          </c:xVal>
          <c:yVal>
            <c:numRef>
              <c:f>Transmittance!$E$38:$E$41</c:f>
              <c:numCache>
                <c:formatCode>0.000_ 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5BE-8749-8238-2DB6316622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3847632"/>
        <c:axId val="1805041968"/>
      </c:scatterChart>
      <c:valAx>
        <c:axId val="1863847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en-US"/>
                  <a:t>dilution</a:t>
                </a:r>
              </a:p>
            </c:rich>
          </c:tx>
          <c:layout>
            <c:manualLayout>
              <c:xMode val="edge"/>
              <c:yMode val="edge"/>
              <c:x val="0.46274673112669401"/>
              <c:y val="0.89175244986268598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05041968"/>
        <c:crosses val="autoZero"/>
        <c:crossBetween val="midCat"/>
      </c:valAx>
      <c:valAx>
        <c:axId val="18050419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en-US"/>
                  <a:t>T2</a:t>
                </a:r>
              </a:p>
            </c:rich>
          </c:tx>
          <c:layout>
            <c:manualLayout>
              <c:xMode val="edge"/>
              <c:yMode val="edge"/>
              <c:x val="1.9607974535098001E-2"/>
              <c:y val="0.455497522269176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ＭＳ Ｐゴシック"/>
                <a:cs typeface="Arial" panose="020B0604020202020204" pitchFamily="34" charset="0"/>
              </a:defRPr>
            </a:pPr>
            <a:endParaRPr lang="ja-JP"/>
          </a:p>
        </c:txPr>
        <c:crossAx val="186384763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276595744680901"/>
          <c:y val="0.36293517364383499"/>
          <c:w val="0.21580547112462001"/>
          <c:h val="0.13899654435087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8100">
      <a:solidFill>
        <a:srgbClr val="FF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ＭＳ Ｐゴシック"/>
                <a:cs typeface="Arial" panose="020B0604020202020204" pitchFamily="34" charset="0"/>
              </a:defRPr>
            </a:pPr>
            <a:r>
              <a:rPr lang="en-US" altLang="en-US">
                <a:latin typeface="Arial" panose="020B0604020202020204" pitchFamily="34" charset="0"/>
                <a:cs typeface="Arial" panose="020B0604020202020204" pitchFamily="34" charset="0"/>
              </a:rPr>
              <a:t>Single reference samples</a:t>
            </a:r>
          </a:p>
        </c:rich>
      </c:tx>
      <c:layout>
        <c:manualLayout>
          <c:xMode val="edge"/>
          <c:yMode val="edge"/>
          <c:x val="0.29142857142857198"/>
          <c:y val="3.93013100436681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2857142857143"/>
          <c:y val="0.170306039987974"/>
          <c:w val="0.71428571428571497"/>
          <c:h val="0.506551298425768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Transmittance!$C$53</c:f>
              <c:strCache>
                <c:ptCount val="1"/>
                <c:pt idx="0">
                  <c:v>SLO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Transmittance!$B$54:$B$61</c:f>
              <c:strCache>
                <c:ptCount val="8"/>
                <c:pt idx="0">
                  <c:v>SLO1/1</c:v>
                </c:pt>
                <c:pt idx="1">
                  <c:v>SLO1/4</c:v>
                </c:pt>
                <c:pt idx="2">
                  <c:v>SLO1/16</c:v>
                </c:pt>
                <c:pt idx="3">
                  <c:v>SLO1/64</c:v>
                </c:pt>
                <c:pt idx="4">
                  <c:v>SLR1/1</c:v>
                </c:pt>
                <c:pt idx="5">
                  <c:v>SLR1/4</c:v>
                </c:pt>
                <c:pt idx="6">
                  <c:v>SLR1/16</c:v>
                </c:pt>
                <c:pt idx="7">
                  <c:v>SLR1/64</c:v>
                </c:pt>
              </c:strCache>
            </c:strRef>
          </c:cat>
          <c:val>
            <c:numRef>
              <c:f>Transmittance!$C$54:$C$61</c:f>
              <c:numCache>
                <c:formatCode>#,##0_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CE-9E40-9ED3-92D5C9EAC99C}"/>
            </c:ext>
          </c:extLst>
        </c:ser>
        <c:ser>
          <c:idx val="0"/>
          <c:order val="1"/>
          <c:tx>
            <c:strRef>
              <c:f>Transmittance!$D$53</c:f>
              <c:strCache>
                <c:ptCount val="1"/>
                <c:pt idx="0">
                  <c:v>SLR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Transmittance!$B$54:$B$61</c:f>
              <c:strCache>
                <c:ptCount val="8"/>
                <c:pt idx="0">
                  <c:v>SLO1/1</c:v>
                </c:pt>
                <c:pt idx="1">
                  <c:v>SLO1/4</c:v>
                </c:pt>
                <c:pt idx="2">
                  <c:v>SLO1/16</c:v>
                </c:pt>
                <c:pt idx="3">
                  <c:v>SLO1/64</c:v>
                </c:pt>
                <c:pt idx="4">
                  <c:v>SLR1/1</c:v>
                </c:pt>
                <c:pt idx="5">
                  <c:v>SLR1/4</c:v>
                </c:pt>
                <c:pt idx="6">
                  <c:v>SLR1/16</c:v>
                </c:pt>
                <c:pt idx="7">
                  <c:v>SLR1/64</c:v>
                </c:pt>
              </c:strCache>
            </c:strRef>
          </c:cat>
          <c:val>
            <c:numRef>
              <c:f>Transmittance!$D$54:$D$61</c:f>
              <c:numCache>
                <c:formatCode>#,##0_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CE-9E40-9ED3-92D5C9EAC9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5483648"/>
        <c:axId val="1822773984"/>
      </c:barChart>
      <c:catAx>
        <c:axId val="18054836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227739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2277398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2.57142857142857E-2"/>
              <c:y val="0.3318786461735950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054836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571428571428601"/>
          <c:y val="0.23144150649291101"/>
          <c:w val="0.182857142857143"/>
          <c:h val="0.18340657199509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FF0000"/>
                </a:solidFill>
                <a:latin typeface="Arial" panose="020B0604020202020204" pitchFamily="34" charset="0"/>
                <a:ea typeface="ＭＳ Ｐゴシック"/>
                <a:cs typeface="Arial" panose="020B0604020202020204" pitchFamily="34" charset="0"/>
              </a:defRPr>
            </a:pPr>
            <a:r>
              <a:rPr lang="en-US" altLang="en-US">
                <a:latin typeface="Arial" panose="020B0604020202020204" pitchFamily="34" charset="0"/>
                <a:cs typeface="Arial" panose="020B0604020202020204" pitchFamily="34" charset="0"/>
              </a:rPr>
              <a:t>【Mixed reference sample】</a:t>
            </a:r>
          </a:p>
        </c:rich>
      </c:tx>
      <c:layout>
        <c:manualLayout>
          <c:xMode val="edge"/>
          <c:yMode val="edge"/>
          <c:x val="0.15891513560804901"/>
          <c:y val="4.477611940298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868303613673399"/>
          <c:y val="0.208956239098643"/>
          <c:w val="0.534885745540158"/>
          <c:h val="0.41293732964731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Transmittance!$B$80</c:f>
              <c:strCache>
                <c:ptCount val="1"/>
                <c:pt idx="0">
                  <c:v>SLO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rrBars>
            <c:errBarType val="plus"/>
            <c:errValType val="cust"/>
            <c:noEndCap val="0"/>
            <c:plus>
              <c:numRef>
                <c:f>Control!$K$35:$L$35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strRef>
              <c:f>Transmittance!$I$79:$J$79</c:f>
              <c:strCache>
                <c:ptCount val="2"/>
                <c:pt idx="0">
                  <c:v>Ave1/1</c:v>
                </c:pt>
                <c:pt idx="1">
                  <c:v>Ave 1/10</c:v>
                </c:pt>
              </c:strCache>
            </c:strRef>
          </c:cat>
          <c:val>
            <c:numRef>
              <c:f>Transmittance!$I$80:$J$80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E7-264C-98F1-57450C32D455}"/>
            </c:ext>
          </c:extLst>
        </c:ser>
        <c:ser>
          <c:idx val="0"/>
          <c:order val="1"/>
          <c:tx>
            <c:strRef>
              <c:f>Transmittance!$B$81</c:f>
              <c:strCache>
                <c:ptCount val="1"/>
                <c:pt idx="0">
                  <c:v>SLR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rrBars>
            <c:errBarType val="plus"/>
            <c:errValType val="cust"/>
            <c:noEndCap val="0"/>
            <c:plus>
              <c:numRef>
                <c:f>Control!$K$36:$L$36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strRef>
              <c:f>Transmittance!$I$79:$J$79</c:f>
              <c:strCache>
                <c:ptCount val="2"/>
                <c:pt idx="0">
                  <c:v>Ave1/1</c:v>
                </c:pt>
                <c:pt idx="1">
                  <c:v>Ave 1/10</c:v>
                </c:pt>
              </c:strCache>
            </c:strRef>
          </c:cat>
          <c:val>
            <c:numRef>
              <c:f>Transmittance!$I$81:$J$81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E7-264C-98F1-57450C32D4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6961728"/>
        <c:axId val="1809416192"/>
      </c:barChart>
      <c:lineChart>
        <c:grouping val="standard"/>
        <c:varyColors val="0"/>
        <c:ser>
          <c:idx val="2"/>
          <c:order val="2"/>
          <c:tx>
            <c:strRef>
              <c:f>Transmittance!$B$82</c:f>
              <c:strCache>
                <c:ptCount val="1"/>
                <c:pt idx="0">
                  <c:v>Ratio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Transmittance!$K$82:$L$82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Transmittance!$K$82:$L$82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strRef>
              <c:f>Transmittance!$I$79:$J$79</c:f>
              <c:strCache>
                <c:ptCount val="2"/>
                <c:pt idx="0">
                  <c:v>Ave1/1</c:v>
                </c:pt>
                <c:pt idx="1">
                  <c:v>Ave 1/10</c:v>
                </c:pt>
              </c:strCache>
            </c:strRef>
          </c:cat>
          <c:val>
            <c:numRef>
              <c:f>Transmittance!$I$82:$J$82</c:f>
              <c:numCache>
                <c:formatCode>0.00_ 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E7-264C-98F1-57450C32D4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9270592"/>
        <c:axId val="1811221280"/>
      </c:lineChart>
      <c:catAx>
        <c:axId val="18069617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094161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0941619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ＭＳ Ｐゴシック"/>
                    <a:cs typeface="Arial" panose="020B0604020202020204" pitchFamily="34" charset="0"/>
                  </a:defRPr>
                </a:pPr>
                <a:r>
                  <a:rPr lang="en-US" altLang="en-US">
                    <a:latin typeface="Arial" panose="020B0604020202020204" pitchFamily="34" charset="0"/>
                    <a:cs typeface="Arial" panose="020B0604020202020204" pitchFamily="34" charset="0"/>
                  </a:rPr>
                  <a:t>counts</a:t>
                </a:r>
              </a:p>
            </c:rich>
          </c:tx>
          <c:layout>
            <c:manualLayout>
              <c:xMode val="edge"/>
              <c:yMode val="edge"/>
              <c:x val="2.7131782945736399E-2"/>
              <c:y val="0.308459278411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ＭＳ Ｐゴシック"/>
                <a:cs typeface="Arial" panose="020B0604020202020204" pitchFamily="34" charset="0"/>
              </a:defRPr>
            </a:pPr>
            <a:endParaRPr lang="ja-JP"/>
          </a:p>
        </c:txPr>
        <c:crossAx val="1806961728"/>
        <c:crosses val="autoZero"/>
        <c:crossBetween val="between"/>
      </c:valAx>
      <c:catAx>
        <c:axId val="1869270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11221280"/>
        <c:crosses val="autoZero"/>
        <c:auto val="0"/>
        <c:lblAlgn val="ctr"/>
        <c:lblOffset val="100"/>
        <c:noMultiLvlLbl val="0"/>
      </c:catAx>
      <c:valAx>
        <c:axId val="1811221280"/>
        <c:scaling>
          <c:orientation val="minMax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ＭＳ Ｐゴシック"/>
                    <a:cs typeface="Arial" panose="020B0604020202020204" pitchFamily="34" charset="0"/>
                  </a:defRPr>
                </a:pPr>
                <a:r>
                  <a:rPr lang="ja-JP" altLang="en-US" sz="1000" b="0" i="0" strike="noStrike">
                    <a:solidFill>
                      <a:srgbClr val="008000"/>
                    </a:solidFill>
                    <a:latin typeface="Arial" panose="020B0604020202020204" pitchFamily="34" charset="0"/>
                    <a:ea typeface="ＭＳ Ｐゴシック"/>
                    <a:cs typeface="Arial" panose="020B0604020202020204" pitchFamily="34" charset="0"/>
                  </a:rPr>
                  <a:t>比（</a:t>
                </a:r>
                <a:r>
                  <a:rPr lang="en-US" altLang="ja-JP" sz="1000" b="0" i="0" strike="noStrike">
                    <a:solidFill>
                      <a:srgbClr val="008000"/>
                    </a:solidFill>
                    <a:latin typeface="Arial" panose="020B0604020202020204" pitchFamily="34" charset="0"/>
                    <a:ea typeface="ＭＳ Ｐゴシック"/>
                    <a:cs typeface="Arial" panose="020B0604020202020204" pitchFamily="34" charset="0"/>
                  </a:rPr>
                  <a:t>O/R</a:t>
                </a:r>
                <a:r>
                  <a:rPr lang="ja-JP" altLang="en-US" sz="1000" b="0" i="0" strike="noStrike">
                    <a:solidFill>
                      <a:srgbClr val="008000"/>
                    </a:solidFill>
                    <a:latin typeface="Arial" panose="020B0604020202020204" pitchFamily="34" charset="0"/>
                    <a:ea typeface="ＭＳ Ｐゴシック"/>
                    <a:cs typeface="Arial" panose="020B0604020202020204" pitchFamily="34" charset="0"/>
                  </a:rPr>
                  <a:t>）</a:t>
                </a:r>
              </a:p>
            </c:rich>
          </c:tx>
          <c:layout>
            <c:manualLayout>
              <c:xMode val="edge"/>
              <c:yMode val="edge"/>
              <c:x val="0.89147612362408202"/>
              <c:y val="0.27860853214243703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none"/>
        <c:tickLblPos val="nextTo"/>
        <c:spPr>
          <a:ln w="3175">
            <a:solidFill>
              <a:srgbClr val="008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8000"/>
                </a:solidFill>
                <a:latin typeface="Arial" panose="020B0604020202020204" pitchFamily="34" charset="0"/>
                <a:ea typeface="ＭＳ Ｐゴシック"/>
                <a:cs typeface="Arial" panose="020B0604020202020204" pitchFamily="34" charset="0"/>
              </a:defRPr>
            </a:pPr>
            <a:endParaRPr lang="ja-JP"/>
          </a:p>
        </c:txPr>
        <c:crossAx val="1869270592"/>
        <c:crosses val="max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155323607804898"/>
          <c:y val="0.68159517373761103"/>
          <c:w val="0.263566705324626"/>
          <c:h val="0.2487572635510109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8100">
      <a:pattFill prst="pct50">
        <a:fgClr>
          <a:srgbClr val="FF0000"/>
        </a:fgClr>
        <a:bgClr>
          <a:srgbClr val="FFFFFF"/>
        </a:bgClr>
      </a:patt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ＭＳ Ｐゴシック"/>
                <a:cs typeface="Arial" panose="020B0604020202020204" pitchFamily="34" charset="0"/>
              </a:defRPr>
            </a:pPr>
            <a:r>
              <a:rPr lang="en-US" altLang="en-US">
                <a:latin typeface="Arial" panose="020B0604020202020204" pitchFamily="34" charset="0"/>
                <a:cs typeface="Arial" panose="020B0604020202020204" pitchFamily="34" charset="0"/>
              </a:rPr>
              <a:t>for each well</a:t>
            </a:r>
          </a:p>
        </c:rich>
      </c:tx>
      <c:layout>
        <c:manualLayout>
          <c:xMode val="edge"/>
          <c:yMode val="edge"/>
          <c:x val="0.39209726443769"/>
          <c:y val="3.96039603960395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148936170212799"/>
          <c:y val="0.19802028064153501"/>
          <c:w val="0.59270516717325195"/>
          <c:h val="0.4158425893472250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Transmittance!$B$80</c:f>
              <c:strCache>
                <c:ptCount val="1"/>
                <c:pt idx="0">
                  <c:v>SLO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Transmittance!$C$79:$H$79</c:f>
              <c:strCache>
                <c:ptCount val="6"/>
                <c:pt idx="0">
                  <c:v>O&amp;R 1/1</c:v>
                </c:pt>
                <c:pt idx="1">
                  <c:v>O&amp;R 1/1</c:v>
                </c:pt>
                <c:pt idx="2">
                  <c:v>O&amp;R 1/1</c:v>
                </c:pt>
                <c:pt idx="3">
                  <c:v>O&amp;R 1/10</c:v>
                </c:pt>
                <c:pt idx="4">
                  <c:v>O&amp;R 1/10</c:v>
                </c:pt>
                <c:pt idx="5">
                  <c:v>O&amp;R 1/10</c:v>
                </c:pt>
              </c:strCache>
            </c:strRef>
          </c:cat>
          <c:val>
            <c:numRef>
              <c:f>Transmittance!$C$80:$H$80</c:f>
              <c:numCache>
                <c:formatCode>#,##0_ 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1E-7F47-82DD-E3CDACBD7A5D}"/>
            </c:ext>
          </c:extLst>
        </c:ser>
        <c:ser>
          <c:idx val="0"/>
          <c:order val="1"/>
          <c:tx>
            <c:strRef>
              <c:f>Transmittance!$B$81</c:f>
              <c:strCache>
                <c:ptCount val="1"/>
                <c:pt idx="0">
                  <c:v>SLR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Transmittance!$C$79:$H$79</c:f>
              <c:strCache>
                <c:ptCount val="6"/>
                <c:pt idx="0">
                  <c:v>O&amp;R 1/1</c:v>
                </c:pt>
                <c:pt idx="1">
                  <c:v>O&amp;R 1/1</c:v>
                </c:pt>
                <c:pt idx="2">
                  <c:v>O&amp;R 1/1</c:v>
                </c:pt>
                <c:pt idx="3">
                  <c:v>O&amp;R 1/10</c:v>
                </c:pt>
                <c:pt idx="4">
                  <c:v>O&amp;R 1/10</c:v>
                </c:pt>
                <c:pt idx="5">
                  <c:v>O&amp;R 1/10</c:v>
                </c:pt>
              </c:strCache>
            </c:strRef>
          </c:cat>
          <c:val>
            <c:numRef>
              <c:f>Transmittance!$C$81:$H$81</c:f>
              <c:numCache>
                <c:formatCode>#,##0_ 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1E-7F47-82DD-E3CDACBD7A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0751360"/>
        <c:axId val="1809094624"/>
      </c:barChart>
      <c:lineChart>
        <c:grouping val="standard"/>
        <c:varyColors val="0"/>
        <c:ser>
          <c:idx val="2"/>
          <c:order val="2"/>
          <c:tx>
            <c:strRef>
              <c:f>Transmittance!$B$82</c:f>
              <c:strCache>
                <c:ptCount val="1"/>
                <c:pt idx="0">
                  <c:v>Ratio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strRef>
              <c:f>Transmittance!$C$79:$H$79</c:f>
              <c:strCache>
                <c:ptCount val="6"/>
                <c:pt idx="0">
                  <c:v>O&amp;R 1/1</c:v>
                </c:pt>
                <c:pt idx="1">
                  <c:v>O&amp;R 1/1</c:v>
                </c:pt>
                <c:pt idx="2">
                  <c:v>O&amp;R 1/1</c:v>
                </c:pt>
                <c:pt idx="3">
                  <c:v>O&amp;R 1/10</c:v>
                </c:pt>
                <c:pt idx="4">
                  <c:v>O&amp;R 1/10</c:v>
                </c:pt>
                <c:pt idx="5">
                  <c:v>O&amp;R 1/10</c:v>
                </c:pt>
              </c:strCache>
            </c:strRef>
          </c:cat>
          <c:val>
            <c:numRef>
              <c:f>Transmittance!$C$82:$H$82</c:f>
              <c:numCache>
                <c:formatCode>0.00_ 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1E-7F47-82DD-E3CDACBD7A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6864416"/>
        <c:axId val="1788043072"/>
      </c:lineChart>
      <c:catAx>
        <c:axId val="1830751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ＭＳ Ｐゴシック"/>
                <a:cs typeface="Arial" panose="020B0604020202020204" pitchFamily="34" charset="0"/>
              </a:defRPr>
            </a:pPr>
            <a:endParaRPr lang="ja-JP"/>
          </a:p>
        </c:txPr>
        <c:crossAx val="18090946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0909462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ＭＳ Ｐゴシック"/>
                    <a:cs typeface="Arial" panose="020B0604020202020204" pitchFamily="34" charset="0"/>
                  </a:defRPr>
                </a:pPr>
                <a:r>
                  <a:rPr lang="en-US" altLang="en-US">
                    <a:latin typeface="Arial" panose="020B0604020202020204" pitchFamily="34" charset="0"/>
                    <a:cs typeface="Arial" panose="020B0604020202020204" pitchFamily="34" charset="0"/>
                  </a:rPr>
                  <a:t>counts</a:t>
                </a:r>
              </a:p>
            </c:rich>
          </c:tx>
          <c:layout>
            <c:manualLayout>
              <c:xMode val="edge"/>
              <c:yMode val="edge"/>
              <c:x val="2.4316109422492401E-2"/>
              <c:y val="0.3019807177568150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ＭＳ Ｐゴシック"/>
                <a:cs typeface="Arial" panose="020B0604020202020204" pitchFamily="34" charset="0"/>
              </a:defRPr>
            </a:pPr>
            <a:endParaRPr lang="ja-JP"/>
          </a:p>
        </c:txPr>
        <c:crossAx val="1830751360"/>
        <c:crosses val="autoZero"/>
        <c:crossBetween val="between"/>
      </c:valAx>
      <c:catAx>
        <c:axId val="1806864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88043072"/>
        <c:crosses val="autoZero"/>
        <c:auto val="0"/>
        <c:lblAlgn val="ctr"/>
        <c:lblOffset val="100"/>
        <c:noMultiLvlLbl val="0"/>
      </c:catAx>
      <c:valAx>
        <c:axId val="1788043072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ＭＳ Ｐゴシック"/>
                    <a:cs typeface="Arial" panose="020B0604020202020204" pitchFamily="34" charset="0"/>
                  </a:defRPr>
                </a:pPr>
                <a:r>
                  <a:rPr lang="en-US" altLang="ja-JP" sz="1000" b="0" i="0" strike="noStrike">
                    <a:solidFill>
                      <a:srgbClr val="008000"/>
                    </a:solidFill>
                    <a:latin typeface="Arial" panose="020B0604020202020204" pitchFamily="34" charset="0"/>
                    <a:ea typeface="ＭＳ Ｐゴシック"/>
                    <a:cs typeface="Arial" panose="020B0604020202020204" pitchFamily="34" charset="0"/>
                  </a:rPr>
                  <a:t>Ratio</a:t>
                </a:r>
                <a:r>
                  <a:rPr lang="ja-JP" altLang="en-US" sz="1000" b="0" i="0" strike="noStrike">
                    <a:solidFill>
                      <a:srgbClr val="008000"/>
                    </a:solidFill>
                    <a:latin typeface="Arial" panose="020B0604020202020204" pitchFamily="34" charset="0"/>
                    <a:ea typeface="ＭＳ Ｐゴシック"/>
                    <a:cs typeface="Arial" panose="020B0604020202020204" pitchFamily="34" charset="0"/>
                  </a:rPr>
                  <a:t>（</a:t>
                </a:r>
                <a:r>
                  <a:rPr lang="en-US" altLang="ja-JP" sz="1000" b="0" i="0" strike="noStrike">
                    <a:solidFill>
                      <a:srgbClr val="008000"/>
                    </a:solidFill>
                    <a:latin typeface="Arial" panose="020B0604020202020204" pitchFamily="34" charset="0"/>
                    <a:ea typeface="ＭＳ Ｐゴシック"/>
                    <a:cs typeface="Arial" panose="020B0604020202020204" pitchFamily="34" charset="0"/>
                  </a:rPr>
                  <a:t>O/R</a:t>
                </a:r>
                <a:r>
                  <a:rPr lang="ja-JP" altLang="en-US" sz="1000" b="0" i="0" strike="noStrike">
                    <a:solidFill>
                      <a:srgbClr val="008000"/>
                    </a:solidFill>
                    <a:latin typeface="Arial" panose="020B0604020202020204" pitchFamily="34" charset="0"/>
                    <a:ea typeface="ＭＳ Ｐゴシック"/>
                    <a:cs typeface="Arial" panose="020B0604020202020204" pitchFamily="34" charset="0"/>
                  </a:rPr>
                  <a:t>）</a:t>
                </a:r>
              </a:p>
            </c:rich>
          </c:tx>
          <c:layout>
            <c:manualLayout>
              <c:xMode val="edge"/>
              <c:yMode val="edge"/>
              <c:x val="0.88449848024316102"/>
              <c:y val="0.232673787063746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none"/>
        <c:tickLblPos val="nextTo"/>
        <c:spPr>
          <a:ln w="3175">
            <a:solidFill>
              <a:srgbClr val="008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8000"/>
                </a:solidFill>
                <a:latin typeface="Arial" panose="020B0604020202020204" pitchFamily="34" charset="0"/>
                <a:ea typeface="ＭＳ Ｐゴシック"/>
                <a:cs typeface="Arial" panose="020B0604020202020204" pitchFamily="34" charset="0"/>
              </a:defRPr>
            </a:pPr>
            <a:endParaRPr lang="ja-JP"/>
          </a:p>
        </c:txPr>
        <c:crossAx val="1806864416"/>
        <c:crosses val="max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683890577507595"/>
          <c:y val="0.70297185624074299"/>
          <c:w val="0.19452887537993899"/>
          <c:h val="0.2425747771627559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775147928994"/>
          <c:y val="5.0179211469534003E-2"/>
          <c:w val="0.633136094674557"/>
          <c:h val="0.82437275985663006"/>
        </c:manualLayout>
      </c:layout>
      <c:barChart>
        <c:barDir val="col"/>
        <c:grouping val="clustered"/>
        <c:varyColors val="0"/>
        <c:ser>
          <c:idx val="0"/>
          <c:order val="0"/>
          <c:tx>
            <c:v>GAPLA</c:v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strRef>
              <c:f>'4NBB, Lactic acid'!$A$63:$A$68</c:f>
              <c:strCache>
                <c:ptCount val="4"/>
                <c:pt idx="0">
                  <c:v>0</c:v>
                </c:pt>
                <c:pt idx="1">
                  <c:v>4NBB 1/32 or LA 1/40</c:v>
                </c:pt>
                <c:pt idx="2">
                  <c:v>4NBB 1/16 or LA 1/20</c:v>
                </c:pt>
                <c:pt idx="3">
                  <c:v>4NBB 1/8 or LA 1/10</c:v>
                </c:pt>
              </c:strCache>
            </c:strRef>
          </c:cat>
          <c:val>
            <c:numRef>
              <c:f>'4NBB, Lactic acid'!$B$63:$B$66</c:f>
              <c:numCache>
                <c:formatCode>0_ 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5A-A543-ACE1-2BD99403F994}"/>
            </c:ext>
          </c:extLst>
        </c:ser>
        <c:ser>
          <c:idx val="1"/>
          <c:order val="1"/>
          <c:tx>
            <c:v>IL8LA</c:v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</c:spPr>
          <c:invertIfNegative val="0"/>
          <c:cat>
            <c:strRef>
              <c:f>'4NBB, Lactic acid'!$A$63:$A$68</c:f>
              <c:strCache>
                <c:ptCount val="4"/>
                <c:pt idx="0">
                  <c:v>0</c:v>
                </c:pt>
                <c:pt idx="1">
                  <c:v>4NBB 1/32 or LA 1/40</c:v>
                </c:pt>
                <c:pt idx="2">
                  <c:v>4NBB 1/16 or LA 1/20</c:v>
                </c:pt>
                <c:pt idx="3">
                  <c:v>4NBB 1/8 or LA 1/10</c:v>
                </c:pt>
              </c:strCache>
            </c:strRef>
          </c:cat>
          <c:val>
            <c:numRef>
              <c:f>'4NBB, Lactic acid'!$D$63:$D$66</c:f>
              <c:numCache>
                <c:formatCode>0_ 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5A-A543-ACE1-2BD99403F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5212272"/>
        <c:axId val="1836213872"/>
      </c:barChart>
      <c:lineChart>
        <c:grouping val="standard"/>
        <c:varyColors val="0"/>
        <c:ser>
          <c:idx val="2"/>
          <c:order val="2"/>
          <c:tx>
            <c:v>nIL8LA</c:v>
          </c:tx>
          <c:spPr>
            <a:ln w="22225">
              <a:solidFill>
                <a:schemeClr val="tx1"/>
              </a:solidFill>
            </a:ln>
          </c:spPr>
          <c:marker>
            <c:symbol val="square"/>
            <c:size val="3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'4NBB, Lactic acid'!$A$63:$A$66</c:f>
              <c:strCache>
                <c:ptCount val="4"/>
                <c:pt idx="0">
                  <c:v>0</c:v>
                </c:pt>
                <c:pt idx="1">
                  <c:v>4NBB 1/32 or LA 1/40</c:v>
                </c:pt>
                <c:pt idx="2">
                  <c:v>4NBB 1/16 or LA 1/20</c:v>
                </c:pt>
                <c:pt idx="3">
                  <c:v>4NBB 1/8 or LA 1/10</c:v>
                </c:pt>
              </c:strCache>
            </c:strRef>
          </c:cat>
          <c:val>
            <c:numRef>
              <c:f>'4NBB, Lactic acid'!$F$63:$F$66</c:f>
              <c:numCache>
                <c:formatCode>0.000_);[Red]\(0.000\)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5A-A543-ACE1-2BD99403F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981072"/>
        <c:axId val="1869533632"/>
      </c:lineChart>
      <c:catAx>
        <c:axId val="1805212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500"/>
            </a:pPr>
            <a:endParaRPr lang="ja-JP"/>
          </a:p>
        </c:txPr>
        <c:crossAx val="1836213872"/>
        <c:crosses val="autoZero"/>
        <c:auto val="1"/>
        <c:lblAlgn val="ctr"/>
        <c:lblOffset val="100"/>
        <c:noMultiLvlLbl val="0"/>
      </c:catAx>
      <c:valAx>
        <c:axId val="1836213872"/>
        <c:scaling>
          <c:orientation val="minMax"/>
          <c:max val="100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600"/>
                </a:pPr>
                <a:r>
                  <a:rPr lang="en-US" altLang="en-US" sz="600"/>
                  <a:t>GAPLA,</a:t>
                </a:r>
                <a:r>
                  <a:rPr lang="en-US" altLang="en-US" sz="600" baseline="0"/>
                  <a:t> IL8LA</a:t>
                </a:r>
                <a:endParaRPr lang="en-US" altLang="en-US" sz="600"/>
              </a:p>
            </c:rich>
          </c:tx>
          <c:overlay val="0"/>
        </c:title>
        <c:numFmt formatCode="0_ " sourceLinked="1"/>
        <c:majorTickMark val="out"/>
        <c:minorTickMark val="none"/>
        <c:tickLblPos val="nextTo"/>
        <c:txPr>
          <a:bodyPr/>
          <a:lstStyle/>
          <a:p>
            <a:pPr>
              <a:defRPr sz="500"/>
            </a:pPr>
            <a:endParaRPr lang="ja-JP"/>
          </a:p>
        </c:txPr>
        <c:crossAx val="1805212272"/>
        <c:crosses val="autoZero"/>
        <c:crossBetween val="between"/>
      </c:valAx>
      <c:catAx>
        <c:axId val="18369810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69533632"/>
        <c:crosses val="autoZero"/>
        <c:auto val="1"/>
        <c:lblAlgn val="ctr"/>
        <c:lblOffset val="100"/>
        <c:noMultiLvlLbl val="0"/>
      </c:catAx>
      <c:valAx>
        <c:axId val="1869533632"/>
        <c:scaling>
          <c:orientation val="minMax"/>
          <c:max val="5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600"/>
                </a:pPr>
                <a:r>
                  <a:rPr lang="en-US" altLang="en-US" sz="600"/>
                  <a:t>nIL8LA</a:t>
                </a:r>
              </a:p>
            </c:rich>
          </c:tx>
          <c:overlay val="0"/>
        </c:title>
        <c:numFmt formatCode="#,##0.0_);[Red]\(#,##0.0\)" sourceLinked="0"/>
        <c:majorTickMark val="out"/>
        <c:minorTickMark val="none"/>
        <c:tickLblPos val="nextTo"/>
        <c:txPr>
          <a:bodyPr/>
          <a:lstStyle/>
          <a:p>
            <a:pPr>
              <a:defRPr sz="500"/>
            </a:pPr>
            <a:endParaRPr lang="ja-JP"/>
          </a:p>
        </c:txPr>
        <c:crossAx val="1836981072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82217330813507405"/>
          <c:y val="0.24014372188806599"/>
          <c:w val="0.171597633136095"/>
          <c:h val="0.51613091374330899"/>
        </c:manualLayout>
      </c:layout>
      <c:overlay val="0"/>
      <c:txPr>
        <a:bodyPr/>
        <a:lstStyle/>
        <a:p>
          <a:pPr>
            <a:defRPr sz="4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600"/>
            </a:pPr>
            <a:r>
              <a:rPr lang="en-US" altLang="ja-JP"/>
              <a:t>Ind-IL8LA</a:t>
            </a:r>
          </a:p>
        </c:rich>
      </c:tx>
      <c:layout>
        <c:manualLayout>
          <c:xMode val="edge"/>
          <c:yMode val="edge"/>
          <c:x val="0.38775110852195199"/>
          <c:y val="4.29614584975396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4398976982097307E-2"/>
          <c:y val="5.0179211469534003E-2"/>
          <c:w val="0.71099744245524299"/>
          <c:h val="0.82437275985663006"/>
        </c:manualLayout>
      </c:layout>
      <c:lineChart>
        <c:grouping val="standard"/>
        <c:varyColors val="0"/>
        <c:ser>
          <c:idx val="0"/>
          <c:order val="0"/>
          <c:tx>
            <c:v>FInSLO-LA</c:v>
          </c:tx>
          <c:spPr>
            <a:ln w="22225">
              <a:solidFill>
                <a:schemeClr val="tx1"/>
              </a:solidFill>
            </a:ln>
          </c:spPr>
          <c:marker>
            <c:symbol val="square"/>
            <c:size val="3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'4NBB, Lactic acid'!$A$63:$A$66</c:f>
              <c:strCache>
                <c:ptCount val="4"/>
                <c:pt idx="0">
                  <c:v>0</c:v>
                </c:pt>
                <c:pt idx="1">
                  <c:v>4NBB 1/32 or LA 1/40</c:v>
                </c:pt>
                <c:pt idx="2">
                  <c:v>4NBB 1/16 or LA 1/20</c:v>
                </c:pt>
                <c:pt idx="3">
                  <c:v>4NBB 1/8 or LA 1/10</c:v>
                </c:pt>
              </c:strCache>
            </c:strRef>
          </c:cat>
          <c:val>
            <c:numRef>
              <c:f>'4NBB, Lactic acid'!$N$63:$N$66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89-3B43-A97C-D71AC68E231F}"/>
            </c:ext>
          </c:extLst>
        </c:ser>
        <c:ser>
          <c:idx val="1"/>
          <c:order val="1"/>
          <c:tx>
            <c:v>1.4</c:v>
          </c:tx>
          <c:spPr>
            <a:ln w="12700">
              <a:solidFill>
                <a:srgbClr val="FF0000"/>
              </a:solidFill>
              <a:prstDash val="dash"/>
            </a:ln>
          </c:spPr>
          <c:marker>
            <c:symbol val="none"/>
          </c:marker>
          <c:val>
            <c:numRef>
              <c:f>'4NBB, Lactic acid'!$V$63:$V$66</c:f>
              <c:numCache>
                <c:formatCode>General</c:formatCode>
                <c:ptCount val="4"/>
                <c:pt idx="0">
                  <c:v>1.4</c:v>
                </c:pt>
                <c:pt idx="1">
                  <c:v>1.4</c:v>
                </c:pt>
                <c:pt idx="2">
                  <c:v>1.4</c:v>
                </c:pt>
                <c:pt idx="3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89-3B43-A97C-D71AC68E231F}"/>
            </c:ext>
          </c:extLst>
        </c:ser>
        <c:ser>
          <c:idx val="2"/>
          <c:order val="2"/>
          <c:tx>
            <c:v>5</c:v>
          </c:tx>
          <c:spPr>
            <a:ln w="12700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'4NBB, Lactic acid'!$W$63:$W$66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89-3B43-A97C-D71AC68E23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7187712"/>
        <c:axId val="1806499520"/>
      </c:lineChart>
      <c:catAx>
        <c:axId val="1807187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500"/>
            </a:pPr>
            <a:endParaRPr lang="ja-JP"/>
          </a:p>
        </c:txPr>
        <c:crossAx val="1806499520"/>
        <c:crossesAt val="0"/>
        <c:auto val="1"/>
        <c:lblAlgn val="ctr"/>
        <c:lblOffset val="100"/>
        <c:noMultiLvlLbl val="0"/>
      </c:catAx>
      <c:valAx>
        <c:axId val="1806499520"/>
        <c:scaling>
          <c:orientation val="minMax"/>
          <c:max val="6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600"/>
                </a:pPr>
                <a:r>
                  <a:rPr lang="en-US" altLang="en-US" sz="600"/>
                  <a:t>Ind-IL8LA</a:t>
                </a:r>
              </a:p>
            </c:rich>
          </c:tx>
          <c:overlay val="0"/>
        </c:title>
        <c:numFmt formatCode="General" sourceLinked="1"/>
        <c:majorTickMark val="out"/>
        <c:minorTickMark val="in"/>
        <c:tickLblPos val="nextTo"/>
        <c:txPr>
          <a:bodyPr/>
          <a:lstStyle/>
          <a:p>
            <a:pPr>
              <a:defRPr sz="500"/>
            </a:pPr>
            <a:endParaRPr lang="ja-JP"/>
          </a:p>
        </c:txPr>
        <c:crossAx val="1807187712"/>
        <c:crosses val="autoZero"/>
        <c:crossBetween val="between"/>
        <c:majorUnit val="1"/>
        <c:minorUnit val="0.2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1.png"/><Relationship Id="rId4" Type="http://schemas.openxmlformats.org/officeDocument/2006/relationships/chart" Target="../charts/chart1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70557</xdr:colOff>
      <xdr:row>13</xdr:row>
      <xdr:rowOff>70556</xdr:rowOff>
    </xdr:from>
    <xdr:ext cx="184666" cy="1200329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779890" y="2540000"/>
          <a:ext cx="184666" cy="120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7200">
            <a:solidFill>
              <a:srgbClr val="FF0000"/>
            </a:solidFill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36522</xdr:colOff>
      <xdr:row>0</xdr:row>
      <xdr:rowOff>58797</xdr:rowOff>
    </xdr:from>
    <xdr:to>
      <xdr:col>20</xdr:col>
      <xdr:colOff>19633</xdr:colOff>
      <xdr:row>9</xdr:row>
      <xdr:rowOff>169922</xdr:rowOff>
    </xdr:to>
    <xdr:graphicFrame macro="">
      <xdr:nvGraphicFramePr>
        <xdr:cNvPr id="1238205" name="グラフ 1">
          <a:extLst>
            <a:ext uri="{FF2B5EF4-FFF2-40B4-BE49-F238E27FC236}">
              <a16:creationId xmlns:a16="http://schemas.microsoft.com/office/drawing/2014/main" id="{00000000-0008-0000-0300-0000BDE41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absoluteAnchor>
    <xdr:pos x="594372" y="1740274"/>
    <xdr:ext cx="5947200" cy="1427341"/>
    <xdr:graphicFrame macro="">
      <xdr:nvGraphicFramePr>
        <xdr:cNvPr id="1238206" name="グラフ 5">
          <a:extLst>
            <a:ext uri="{FF2B5EF4-FFF2-40B4-BE49-F238E27FC236}">
              <a16:creationId xmlns:a16="http://schemas.microsoft.com/office/drawing/2014/main" id="{00000000-0008-0000-0300-0000BEE41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absoluteAnchor>
    <xdr:pos x="594372" y="3179827"/>
    <xdr:ext cx="5947200" cy="1427341"/>
    <xdr:graphicFrame macro="">
      <xdr:nvGraphicFramePr>
        <xdr:cNvPr id="1238207" name="グラフ 8">
          <a:extLst>
            <a:ext uri="{FF2B5EF4-FFF2-40B4-BE49-F238E27FC236}">
              <a16:creationId xmlns:a16="http://schemas.microsoft.com/office/drawing/2014/main" id="{00000000-0008-0000-0300-0000BFE41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absoluteAnchor>
  <xdr:oneCellAnchor>
    <xdr:from>
      <xdr:col>18</xdr:col>
      <xdr:colOff>65475</xdr:colOff>
      <xdr:row>8</xdr:row>
      <xdr:rowOff>124694</xdr:rowOff>
    </xdr:from>
    <xdr:ext cx="432743" cy="184666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10106783" y="1548993"/>
          <a:ext cx="432743" cy="1846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600" b="1"/>
            <a:t>dilution</a:t>
          </a:r>
          <a:endParaRPr kumimoji="1" lang="ja-JP" altLang="en-US" sz="600" b="1"/>
        </a:p>
      </xdr:txBody>
    </xdr:sp>
    <xdr:clientData/>
  </xdr:oneCellAnchor>
  <xdr:oneCellAnchor>
    <xdr:from>
      <xdr:col>18</xdr:col>
      <xdr:colOff>65475</xdr:colOff>
      <xdr:row>16</xdr:row>
      <xdr:rowOff>79271</xdr:rowOff>
    </xdr:from>
    <xdr:ext cx="432743" cy="184666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/>
      </xdr:nvSpPr>
      <xdr:spPr>
        <a:xfrm>
          <a:off x="10106783" y="2927869"/>
          <a:ext cx="432743" cy="1846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600" b="1"/>
            <a:t>dilution</a:t>
          </a:r>
          <a:endParaRPr kumimoji="1" lang="ja-JP" altLang="en-US" sz="600" b="1"/>
        </a:p>
      </xdr:txBody>
    </xdr:sp>
    <xdr:clientData/>
  </xdr:oneCellAnchor>
  <xdr:oneCellAnchor>
    <xdr:from>
      <xdr:col>18</xdr:col>
      <xdr:colOff>65475</xdr:colOff>
      <xdr:row>24</xdr:row>
      <xdr:rowOff>89841</xdr:rowOff>
    </xdr:from>
    <xdr:ext cx="432743" cy="184666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10106783" y="4362738"/>
          <a:ext cx="432743" cy="1846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600" b="1"/>
            <a:t>dilution</a:t>
          </a:r>
          <a:endParaRPr kumimoji="1" lang="ja-JP" altLang="en-US" sz="600" b="1"/>
        </a:p>
      </xdr:txBody>
    </xdr:sp>
    <xdr:clientData/>
  </xdr:oneCellAnchor>
  <xdr:absoluteAnchor>
    <xdr:pos x="594372" y="4619665"/>
    <xdr:ext cx="5410852" cy="1450212"/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355600</xdr:colOff>
      <xdr:row>4</xdr:row>
      <xdr:rowOff>104775</xdr:rowOff>
    </xdr:from>
    <xdr:to>
      <xdr:col>6</xdr:col>
      <xdr:colOff>111125</xdr:colOff>
      <xdr:row>6</xdr:row>
      <xdr:rowOff>31750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rrowheads="1"/>
        </xdr:cNvSpPr>
      </xdr:nvSpPr>
      <xdr:spPr bwMode="auto">
        <a:xfrm>
          <a:off x="1784350" y="835025"/>
          <a:ext cx="469900" cy="307975"/>
        </a:xfrm>
        <a:prstGeom prst="wedgeRoundRectCallout">
          <a:avLst>
            <a:gd name="adj1" fmla="val 48412"/>
            <a:gd name="adj2" fmla="val 150000"/>
            <a:gd name="adj3" fmla="val 16667"/>
          </a:avLst>
        </a:prstGeom>
        <a:solidFill>
          <a:srgbClr val="FFFFFF"/>
        </a:solidFill>
        <a:ln w="25400" algn="ctr">
          <a:solidFill>
            <a:srgbClr val="F79646"/>
          </a:solidFill>
          <a:miter lim="800000"/>
          <a:headEnd/>
          <a:tailEnd/>
        </a:ln>
        <a:effectLst>
          <a:outerShdw dist="114300" dir="5400000" sx="99001" sy="99001" algn="t" rotWithShape="0">
            <a:srgbClr val="000000">
              <a:alpha val="50998"/>
            </a:srgbClr>
          </a:outerShdw>
        </a:effectLst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en-US" altLang="ja-JP" sz="1100" b="1" i="0" u="none" strike="noStrike" baseline="0">
              <a:solidFill>
                <a:srgbClr val="FF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Input</a:t>
          </a:r>
        </a:p>
      </xdr:txBody>
    </xdr:sp>
    <xdr:clientData/>
  </xdr:twoCellAnchor>
  <xdr:twoCellAnchor>
    <xdr:from>
      <xdr:col>4</xdr:col>
      <xdr:colOff>355600</xdr:colOff>
      <xdr:row>15</xdr:row>
      <xdr:rowOff>161925</xdr:rowOff>
    </xdr:from>
    <xdr:to>
      <xdr:col>6</xdr:col>
      <xdr:colOff>150813</xdr:colOff>
      <xdr:row>17</xdr:row>
      <xdr:rowOff>111125</xdr:rowOff>
    </xdr:to>
    <xdr:sp macro="" textlink="">
      <xdr:nvSpPr>
        <xdr:cNvPr id="3" name="角丸四角形吹き出し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Arrowheads="1"/>
        </xdr:cNvSpPr>
      </xdr:nvSpPr>
      <xdr:spPr bwMode="auto">
        <a:xfrm>
          <a:off x="1784350" y="2876550"/>
          <a:ext cx="509588" cy="314325"/>
        </a:xfrm>
        <a:prstGeom prst="wedgeRoundRectCallout">
          <a:avLst>
            <a:gd name="adj1" fmla="val 48412"/>
            <a:gd name="adj2" fmla="val 150000"/>
            <a:gd name="adj3" fmla="val 16667"/>
          </a:avLst>
        </a:prstGeom>
        <a:solidFill>
          <a:srgbClr val="FFFFFF"/>
        </a:solidFill>
        <a:ln w="25400" algn="ctr">
          <a:solidFill>
            <a:srgbClr val="F79646"/>
          </a:solidFill>
          <a:miter lim="800000"/>
          <a:headEnd/>
          <a:tailEnd/>
        </a:ln>
        <a:effectLst>
          <a:outerShdw dist="114300" dir="5400000" sx="99001" sy="99001" algn="t" rotWithShape="0">
            <a:srgbClr val="000000">
              <a:alpha val="50998"/>
            </a:srgbClr>
          </a:outerShdw>
        </a:effectLst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en-US" altLang="ja-JP" sz="1100" b="1" i="0" u="none" strike="noStrike" baseline="0">
              <a:solidFill>
                <a:srgbClr val="FF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Input</a:t>
          </a:r>
        </a:p>
      </xdr:txBody>
    </xdr:sp>
    <xdr:clientData/>
  </xdr:twoCellAnchor>
  <xdr:twoCellAnchor>
    <xdr:from>
      <xdr:col>23</xdr:col>
      <xdr:colOff>333375</xdr:colOff>
      <xdr:row>2</xdr:row>
      <xdr:rowOff>114300</xdr:rowOff>
    </xdr:from>
    <xdr:to>
      <xdr:col>31</xdr:col>
      <xdr:colOff>209550</xdr:colOff>
      <xdr:row>16</xdr:row>
      <xdr:rowOff>142875</xdr:rowOff>
    </xdr:to>
    <xdr:graphicFrame macro="">
      <xdr:nvGraphicFramePr>
        <xdr:cNvPr id="4" name="Chart 7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228600</xdr:colOff>
      <xdr:row>2</xdr:row>
      <xdr:rowOff>114300</xdr:rowOff>
    </xdr:from>
    <xdr:to>
      <xdr:col>23</xdr:col>
      <xdr:colOff>304800</xdr:colOff>
      <xdr:row>19</xdr:row>
      <xdr:rowOff>9525</xdr:rowOff>
    </xdr:to>
    <xdr:graphicFrame macro="">
      <xdr:nvGraphicFramePr>
        <xdr:cNvPr id="5" name="Chart 8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228600</xdr:colOff>
      <xdr:row>15</xdr:row>
      <xdr:rowOff>123825</xdr:rowOff>
    </xdr:from>
    <xdr:to>
      <xdr:col>13</xdr:col>
      <xdr:colOff>152400</xdr:colOff>
      <xdr:row>18</xdr:row>
      <xdr:rowOff>47625</xdr:rowOff>
    </xdr:to>
    <xdr:sp macro="" textlink="">
      <xdr:nvSpPr>
        <xdr:cNvPr id="6" name="角丸四角形吹き出し 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Arrowheads="1"/>
        </xdr:cNvSpPr>
      </xdr:nvSpPr>
      <xdr:spPr bwMode="auto">
        <a:xfrm>
          <a:off x="3657600" y="2409825"/>
          <a:ext cx="1447800" cy="381000"/>
        </a:xfrm>
        <a:prstGeom prst="wedgeRoundRectCallout">
          <a:avLst>
            <a:gd name="adj1" fmla="val 58551"/>
            <a:gd name="adj2" fmla="val 106819"/>
            <a:gd name="adj3" fmla="val 16667"/>
          </a:avLst>
        </a:prstGeom>
        <a:solidFill>
          <a:srgbClr val="FFFFFF"/>
        </a:solidFill>
        <a:ln w="25400" algn="ctr">
          <a:solidFill>
            <a:srgbClr val="F79646"/>
          </a:solidFill>
          <a:miter lim="800000"/>
          <a:headEnd/>
          <a:tailEnd/>
        </a:ln>
        <a:effectLst>
          <a:outerShdw dist="114300" dir="5400000" sx="99001" sy="99001" algn="t" rotWithShape="0">
            <a:srgbClr val="000000">
              <a:alpha val="50998"/>
            </a:srgbClr>
          </a:outerShdw>
        </a:effectLst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en-US" altLang="ja-JP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Record these data for </a:t>
          </a:r>
          <a:r>
            <a:rPr lang="en-US" altLang="ja-JP" sz="1100" b="1" i="0" u="none" strike="noStrike" baseline="0">
              <a:solidFill>
                <a:srgbClr val="FF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quality</a:t>
          </a:r>
          <a:r>
            <a:rPr lang="en-US" altLang="ja-JP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 control.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466725</xdr:colOff>
      <xdr:row>29</xdr:row>
      <xdr:rowOff>28575</xdr:rowOff>
    </xdr:to>
    <xdr:sp macro="" textlink="">
      <xdr:nvSpPr>
        <xdr:cNvPr id="10234" name="Rectangle 576">
          <a:extLst>
            <a:ext uri="{FF2B5EF4-FFF2-40B4-BE49-F238E27FC236}">
              <a16:creationId xmlns:a16="http://schemas.microsoft.com/office/drawing/2014/main" id="{00000000-0008-0000-0500-0000FA2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391525" cy="4781550"/>
        </a:xfrm>
        <a:prstGeom prst="rect">
          <a:avLst/>
        </a:prstGeom>
        <a:solidFill>
          <a:srgbClr val="C0C0C0">
            <a:alpha val="59999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342900</xdr:colOff>
      <xdr:row>38</xdr:row>
      <xdr:rowOff>142875</xdr:rowOff>
    </xdr:from>
    <xdr:to>
      <xdr:col>7</xdr:col>
      <xdr:colOff>561975</xdr:colOff>
      <xdr:row>52</xdr:row>
      <xdr:rowOff>47625</xdr:rowOff>
    </xdr:to>
    <xdr:graphicFrame macro="">
      <xdr:nvGraphicFramePr>
        <xdr:cNvPr id="10237" name="グラフ 68">
          <a:extLst>
            <a:ext uri="{FF2B5EF4-FFF2-40B4-BE49-F238E27FC236}">
              <a16:creationId xmlns:a16="http://schemas.microsoft.com/office/drawing/2014/main" id="{00000000-0008-0000-0500-0000FD2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104775</xdr:colOff>
      <xdr:row>37</xdr:row>
      <xdr:rowOff>114300</xdr:rowOff>
    </xdr:from>
    <xdr:to>
      <xdr:col>12</xdr:col>
      <xdr:colOff>361950</xdr:colOff>
      <xdr:row>53</xdr:row>
      <xdr:rowOff>76200</xdr:rowOff>
    </xdr:to>
    <xdr:graphicFrame macro="">
      <xdr:nvGraphicFramePr>
        <xdr:cNvPr id="10239" name="グラフ 68">
          <a:extLst>
            <a:ext uri="{FF2B5EF4-FFF2-40B4-BE49-F238E27FC236}">
              <a16:creationId xmlns:a16="http://schemas.microsoft.com/office/drawing/2014/main" id="{00000000-0008-0000-0500-0000FF2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304800</xdr:colOff>
      <xdr:row>24</xdr:row>
      <xdr:rowOff>133350</xdr:rowOff>
    </xdr:from>
    <xdr:to>
      <xdr:col>8</xdr:col>
      <xdr:colOff>285750</xdr:colOff>
      <xdr:row>30</xdr:row>
      <xdr:rowOff>104775</xdr:rowOff>
    </xdr:to>
    <xdr:sp macro="" textlink="">
      <xdr:nvSpPr>
        <xdr:cNvPr id="9791" name="角丸四角形吹き出し 1">
          <a:extLst>
            <a:ext uri="{FF2B5EF4-FFF2-40B4-BE49-F238E27FC236}">
              <a16:creationId xmlns:a16="http://schemas.microsoft.com/office/drawing/2014/main" id="{00000000-0008-0000-0500-00003F260000}"/>
            </a:ext>
          </a:extLst>
        </xdr:cNvPr>
        <xdr:cNvSpPr>
          <a:spLocks noChangeArrowheads="1"/>
        </xdr:cNvSpPr>
      </xdr:nvSpPr>
      <xdr:spPr bwMode="auto">
        <a:xfrm>
          <a:off x="2743200" y="4057650"/>
          <a:ext cx="2419350" cy="952500"/>
        </a:xfrm>
        <a:prstGeom prst="wedgeRoundRectCallout">
          <a:avLst>
            <a:gd name="adj1" fmla="val 47639"/>
            <a:gd name="adj2" fmla="val 88000"/>
            <a:gd name="adj3" fmla="val 16667"/>
          </a:avLst>
        </a:prstGeom>
        <a:solidFill>
          <a:srgbClr val="FFFFFF"/>
        </a:solidFill>
        <a:ln w="25400" algn="ctr">
          <a:solidFill>
            <a:srgbClr val="F79646"/>
          </a:solidFill>
          <a:miter lim="800000"/>
          <a:headEnd/>
          <a:tailEnd/>
        </a:ln>
        <a:effectLst>
          <a:outerShdw blurRad="25400" dist="91581" dir="3378596" sx="99001" sy="99001" algn="t" rotWithShape="0">
            <a:srgbClr val="000000"/>
          </a:outerShdw>
        </a:effectLst>
      </xdr:spPr>
      <xdr:txBody>
        <a:bodyPr vertOverflow="clip" wrap="square" lIns="27432" tIns="18288" rIns="0" bIns="0" anchor="ctr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【Result】</a:t>
          </a:r>
        </a:p>
        <a:p>
          <a:pPr algn="ctr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Color discrimination calculation result will appear here. Record it for quality control purpose.</a:t>
          </a:r>
          <a:endParaRPr lang="ja-JP" altLang="en-US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104775</xdr:rowOff>
    </xdr:from>
    <xdr:to>
      <xdr:col>13</xdr:col>
      <xdr:colOff>361950</xdr:colOff>
      <xdr:row>26</xdr:row>
      <xdr:rowOff>104775</xdr:rowOff>
    </xdr:to>
    <xdr:sp macro="" textlink="">
      <xdr:nvSpPr>
        <xdr:cNvPr id="1060450" name="Rectangle 367">
          <a:extLst>
            <a:ext uri="{FF2B5EF4-FFF2-40B4-BE49-F238E27FC236}">
              <a16:creationId xmlns:a16="http://schemas.microsoft.com/office/drawing/2014/main" id="{00000000-0008-0000-0600-0000622E1000}"/>
            </a:ext>
          </a:extLst>
        </xdr:cNvPr>
        <xdr:cNvSpPr>
          <a:spLocks noChangeArrowheads="1"/>
        </xdr:cNvSpPr>
      </xdr:nvSpPr>
      <xdr:spPr bwMode="auto">
        <a:xfrm>
          <a:off x="0" y="438150"/>
          <a:ext cx="8324850" cy="3914775"/>
        </a:xfrm>
        <a:prstGeom prst="rect">
          <a:avLst/>
        </a:prstGeom>
        <a:solidFill>
          <a:srgbClr val="C0C0C0">
            <a:alpha val="63136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28575</xdr:colOff>
      <xdr:row>70</xdr:row>
      <xdr:rowOff>0</xdr:rowOff>
    </xdr:from>
    <xdr:to>
      <xdr:col>14</xdr:col>
      <xdr:colOff>342900</xdr:colOff>
      <xdr:row>83</xdr:row>
      <xdr:rowOff>76200</xdr:rowOff>
    </xdr:to>
    <xdr:sp macro="" textlink="">
      <xdr:nvSpPr>
        <xdr:cNvPr id="1060451" name="Rectangle 363">
          <a:extLst>
            <a:ext uri="{FF2B5EF4-FFF2-40B4-BE49-F238E27FC236}">
              <a16:creationId xmlns:a16="http://schemas.microsoft.com/office/drawing/2014/main" id="{00000000-0008-0000-0600-0000632E1000}"/>
            </a:ext>
          </a:extLst>
        </xdr:cNvPr>
        <xdr:cNvSpPr>
          <a:spLocks noChangeArrowheads="1"/>
        </xdr:cNvSpPr>
      </xdr:nvSpPr>
      <xdr:spPr bwMode="auto">
        <a:xfrm>
          <a:off x="28575" y="11134725"/>
          <a:ext cx="8886825" cy="2095500"/>
        </a:xfrm>
        <a:prstGeom prst="rect">
          <a:avLst/>
        </a:prstGeom>
        <a:solidFill>
          <a:srgbClr val="C0C0C0">
            <a:alpha val="63136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304800</xdr:colOff>
      <xdr:row>26</xdr:row>
      <xdr:rowOff>19050</xdr:rowOff>
    </xdr:from>
    <xdr:to>
      <xdr:col>14</xdr:col>
      <xdr:colOff>390525</xdr:colOff>
      <xdr:row>41</xdr:row>
      <xdr:rowOff>95250</xdr:rowOff>
    </xdr:to>
    <xdr:graphicFrame macro="">
      <xdr:nvGraphicFramePr>
        <xdr:cNvPr id="1060452" name="グラフ 13">
          <a:extLst>
            <a:ext uri="{FF2B5EF4-FFF2-40B4-BE49-F238E27FC236}">
              <a16:creationId xmlns:a16="http://schemas.microsoft.com/office/drawing/2014/main" id="{00000000-0008-0000-0600-0000642E1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7</xdr:row>
      <xdr:rowOff>66675</xdr:rowOff>
    </xdr:from>
    <xdr:to>
      <xdr:col>5</xdr:col>
      <xdr:colOff>304800</xdr:colOff>
      <xdr:row>9</xdr:row>
      <xdr:rowOff>19050</xdr:rowOff>
    </xdr:to>
    <xdr:sp macro="" textlink="">
      <xdr:nvSpPr>
        <xdr:cNvPr id="76117" name="角丸四角形吹き出し 1">
          <a:extLst>
            <a:ext uri="{FF2B5EF4-FFF2-40B4-BE49-F238E27FC236}">
              <a16:creationId xmlns:a16="http://schemas.microsoft.com/office/drawing/2014/main" id="{00000000-0008-0000-0600-000055290100}"/>
            </a:ext>
          </a:extLst>
        </xdr:cNvPr>
        <xdr:cNvSpPr>
          <a:spLocks noChangeArrowheads="1"/>
        </xdr:cNvSpPr>
      </xdr:nvSpPr>
      <xdr:spPr bwMode="auto">
        <a:xfrm>
          <a:off x="2533650" y="1209675"/>
          <a:ext cx="942975" cy="276225"/>
        </a:xfrm>
        <a:prstGeom prst="wedgeRoundRectCallout">
          <a:avLst>
            <a:gd name="adj1" fmla="val -189394"/>
            <a:gd name="adj2" fmla="val -122412"/>
            <a:gd name="adj3" fmla="val 16667"/>
          </a:avLst>
        </a:prstGeom>
        <a:solidFill>
          <a:srgbClr val="FFFFFF"/>
        </a:solidFill>
        <a:ln w="25400" algn="ctr">
          <a:solidFill>
            <a:srgbClr val="F79646"/>
          </a:solidFill>
          <a:miter lim="800000"/>
          <a:headEnd/>
          <a:tailEnd/>
        </a:ln>
        <a:effectLst>
          <a:outerShdw blurRad="25400" dist="170861" dir="2519233" sx="99001" sy="99001" algn="t" rotWithShape="0">
            <a:srgbClr val="000000"/>
          </a:outerShdw>
        </a:effec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Not editable</a:t>
          </a:r>
          <a:endParaRPr lang="ja-JP" altLang="en-US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257175</xdr:colOff>
      <xdr:row>42</xdr:row>
      <xdr:rowOff>85725</xdr:rowOff>
    </xdr:from>
    <xdr:to>
      <xdr:col>15</xdr:col>
      <xdr:colOff>542925</xdr:colOff>
      <xdr:row>56</xdr:row>
      <xdr:rowOff>114300</xdr:rowOff>
    </xdr:to>
    <xdr:graphicFrame macro="">
      <xdr:nvGraphicFramePr>
        <xdr:cNvPr id="1060454" name="グラフ 68">
          <a:extLst>
            <a:ext uri="{FF2B5EF4-FFF2-40B4-BE49-F238E27FC236}">
              <a16:creationId xmlns:a16="http://schemas.microsoft.com/office/drawing/2014/main" id="{00000000-0008-0000-0600-0000662E1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238125</xdr:colOff>
      <xdr:row>56</xdr:row>
      <xdr:rowOff>142875</xdr:rowOff>
    </xdr:from>
    <xdr:to>
      <xdr:col>14</xdr:col>
      <xdr:colOff>257175</xdr:colOff>
      <xdr:row>69</xdr:row>
      <xdr:rowOff>19050</xdr:rowOff>
    </xdr:to>
    <xdr:graphicFrame macro="">
      <xdr:nvGraphicFramePr>
        <xdr:cNvPr id="1060455" name="グラフ 68">
          <a:extLst>
            <a:ext uri="{FF2B5EF4-FFF2-40B4-BE49-F238E27FC236}">
              <a16:creationId xmlns:a16="http://schemas.microsoft.com/office/drawing/2014/main" id="{00000000-0008-0000-0600-0000672E1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15</xdr:row>
      <xdr:rowOff>47625</xdr:rowOff>
    </xdr:from>
    <xdr:to>
      <xdr:col>11</xdr:col>
      <xdr:colOff>352425</xdr:colOff>
      <xdr:row>24</xdr:row>
      <xdr:rowOff>28575</xdr:rowOff>
    </xdr:to>
    <xdr:sp macro="" textlink="">
      <xdr:nvSpPr>
        <xdr:cNvPr id="76123" name="角丸四角形吹き出し 1">
          <a:extLst>
            <a:ext uri="{FF2B5EF4-FFF2-40B4-BE49-F238E27FC236}">
              <a16:creationId xmlns:a16="http://schemas.microsoft.com/office/drawing/2014/main" id="{00000000-0008-0000-0600-00005B290100}"/>
            </a:ext>
          </a:extLst>
        </xdr:cNvPr>
        <xdr:cNvSpPr>
          <a:spLocks noChangeArrowheads="1"/>
        </xdr:cNvSpPr>
      </xdr:nvSpPr>
      <xdr:spPr bwMode="auto">
        <a:xfrm>
          <a:off x="3171825" y="2505075"/>
          <a:ext cx="3924300" cy="1438275"/>
        </a:xfrm>
        <a:prstGeom prst="wedgeRoundRectCallout">
          <a:avLst>
            <a:gd name="adj1" fmla="val -48787"/>
            <a:gd name="adj2" fmla="val 128144"/>
            <a:gd name="adj3" fmla="val 16667"/>
          </a:avLst>
        </a:prstGeom>
        <a:solidFill>
          <a:srgbClr val="FFFF99"/>
        </a:solidFill>
        <a:ln w="25400" algn="ctr">
          <a:solidFill>
            <a:srgbClr val="F79646"/>
          </a:solidFill>
          <a:miter lim="800000"/>
          <a:headEnd/>
          <a:tailEnd/>
        </a:ln>
        <a:effectLst>
          <a:outerShdw blurRad="25400" dist="170861" dir="2519233" sx="99001" sy="99001" algn="t" rotWithShape="0">
            <a:srgbClr val="000000"/>
          </a:outerShdw>
        </a:effec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FF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　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【Confirm linearity】！</a:t>
          </a:r>
          <a:endParaRPr lang="ja-JP" altLang="en-US" sz="1200" b="0" i="0" u="none" strike="noStrike" baseline="0">
            <a:solidFill>
              <a:srgbClr val="FF0000"/>
            </a:solidFill>
            <a:latin typeface="Arial" panose="020B0604020202020204" pitchFamily="34" charset="0"/>
            <a:ea typeface="ＭＳ Ｐゴシック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FF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Linearity of the detector sensitivity appears on the right graph. Sometimes, transmittance is not appropriately calculated (over-linear), especially for low luminescence intensity from diluted sample. Eliminate the over linear result from the cited area for average calculation. (See the right window box.）</a:t>
          </a:r>
          <a:endParaRPr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381000</xdr:colOff>
      <xdr:row>42</xdr:row>
      <xdr:rowOff>104775</xdr:rowOff>
    </xdr:from>
    <xdr:to>
      <xdr:col>4</xdr:col>
      <xdr:colOff>514350</xdr:colOff>
      <xdr:row>49</xdr:row>
      <xdr:rowOff>38100</xdr:rowOff>
    </xdr:to>
    <xdr:sp macro="" textlink="">
      <xdr:nvSpPr>
        <xdr:cNvPr id="76137" name="角丸四角形吹き出し 1">
          <a:extLst>
            <a:ext uri="{FF2B5EF4-FFF2-40B4-BE49-F238E27FC236}">
              <a16:creationId xmlns:a16="http://schemas.microsoft.com/office/drawing/2014/main" id="{00000000-0008-0000-0600-000069290100}"/>
            </a:ext>
          </a:extLst>
        </xdr:cNvPr>
        <xdr:cNvSpPr>
          <a:spLocks noChangeArrowheads="1"/>
        </xdr:cNvSpPr>
      </xdr:nvSpPr>
      <xdr:spPr bwMode="auto">
        <a:xfrm>
          <a:off x="381000" y="6896100"/>
          <a:ext cx="2571750" cy="1000125"/>
        </a:xfrm>
        <a:prstGeom prst="wedgeRoundRectCallout">
          <a:avLst>
            <a:gd name="adj1" fmla="val 30000"/>
            <a:gd name="adj2" fmla="val 85236"/>
            <a:gd name="adj3" fmla="val 16667"/>
          </a:avLst>
        </a:prstGeom>
        <a:solidFill>
          <a:srgbClr val="FFFFFF"/>
        </a:solidFill>
        <a:ln w="25400" algn="ctr">
          <a:solidFill>
            <a:srgbClr val="F79646"/>
          </a:solidFill>
          <a:miter lim="800000"/>
          <a:headEnd/>
          <a:tailEnd/>
        </a:ln>
        <a:effectLst>
          <a:outerShdw blurRad="25400" dist="170861" dir="2519233" sx="99001" sy="99001" algn="t" rotWithShape="0">
            <a:srgbClr val="000000"/>
          </a:outerShdw>
        </a:effec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　【Result for reference samples】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Color discrimination result of reference samples will appear here, which is calculated using transmittance factor determined here.</a:t>
          </a:r>
          <a:endParaRPr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85725</xdr:colOff>
      <xdr:row>37</xdr:row>
      <xdr:rowOff>57150</xdr:rowOff>
    </xdr:from>
    <xdr:to>
      <xdr:col>9</xdr:col>
      <xdr:colOff>142875</xdr:colOff>
      <xdr:row>48</xdr:row>
      <xdr:rowOff>28575</xdr:rowOff>
    </xdr:to>
    <xdr:sp macro="" textlink="">
      <xdr:nvSpPr>
        <xdr:cNvPr id="76138" name="角丸四角形吹き出し 1">
          <a:extLst>
            <a:ext uri="{FF2B5EF4-FFF2-40B4-BE49-F238E27FC236}">
              <a16:creationId xmlns:a16="http://schemas.microsoft.com/office/drawing/2014/main" id="{00000000-0008-0000-0600-00006A290100}"/>
            </a:ext>
          </a:extLst>
        </xdr:cNvPr>
        <xdr:cNvSpPr>
          <a:spLocks noChangeArrowheads="1"/>
        </xdr:cNvSpPr>
      </xdr:nvSpPr>
      <xdr:spPr bwMode="auto">
        <a:xfrm>
          <a:off x="3257550" y="6048375"/>
          <a:ext cx="2409825" cy="1685925"/>
        </a:xfrm>
        <a:prstGeom prst="wedgeRoundRectCallout">
          <a:avLst>
            <a:gd name="adj1" fmla="val 31421"/>
            <a:gd name="adj2" fmla="val -80509"/>
            <a:gd name="adj3" fmla="val 16667"/>
          </a:avLst>
        </a:prstGeom>
        <a:solidFill>
          <a:srgbClr val="FFFF99"/>
        </a:solidFill>
        <a:ln w="25400" algn="ctr">
          <a:solidFill>
            <a:srgbClr val="F79646"/>
          </a:solidFill>
          <a:miter lim="800000"/>
          <a:headEnd/>
          <a:tailEnd/>
        </a:ln>
        <a:effectLst>
          <a:outerShdw blurRad="25400" dist="170861" dir="2519233" sx="99001" sy="99001" algn="t" rotWithShape="0">
            <a:srgbClr val="000000"/>
          </a:outerShdw>
        </a:effec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　</a:t>
          </a:r>
          <a:r>
            <a:rPr lang="ja-JP" altLang="en-US" sz="1400" b="1" i="0" u="none" strike="noStrike" baseline="0">
              <a:solidFill>
                <a:srgbClr val="FF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【Result】</a:t>
          </a:r>
          <a:endParaRPr lang="ja-JP" altLang="en-US" sz="1400" b="0" i="0" u="none" strike="noStrike" baseline="0">
            <a:solidFill>
              <a:srgbClr val="FF0000"/>
            </a:solidFill>
            <a:latin typeface="Arial" panose="020B0604020202020204" pitchFamily="34" charset="0"/>
            <a:ea typeface="ＭＳ Ｐゴシック"/>
            <a:cs typeface="Arial" panose="020B0604020202020204" pitchFamily="34" charset="0"/>
          </a:endParaRP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Transmittance factor of the filters will appear here. Use this data as transmittance factors (G4:G5 on "Data Input"sheet). </a:t>
          </a:r>
          <a:endParaRPr lang="ja-JP" altLang="en-US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590550</xdr:colOff>
      <xdr:row>50</xdr:row>
      <xdr:rowOff>19050</xdr:rowOff>
    </xdr:from>
    <xdr:to>
      <xdr:col>9</xdr:col>
      <xdr:colOff>390525</xdr:colOff>
      <xdr:row>57</xdr:row>
      <xdr:rowOff>114300</xdr:rowOff>
    </xdr:to>
    <xdr:sp macro="" textlink="">
      <xdr:nvSpPr>
        <xdr:cNvPr id="76140" name="角丸四角形吹き出し 1">
          <a:extLst>
            <a:ext uri="{FF2B5EF4-FFF2-40B4-BE49-F238E27FC236}">
              <a16:creationId xmlns:a16="http://schemas.microsoft.com/office/drawing/2014/main" id="{00000000-0008-0000-0600-00006C290100}"/>
            </a:ext>
          </a:extLst>
        </xdr:cNvPr>
        <xdr:cNvSpPr>
          <a:spLocks noChangeArrowheads="1"/>
        </xdr:cNvSpPr>
      </xdr:nvSpPr>
      <xdr:spPr bwMode="auto">
        <a:xfrm>
          <a:off x="3762375" y="8029575"/>
          <a:ext cx="2152650" cy="1181100"/>
        </a:xfrm>
        <a:prstGeom prst="wedgeRoundRectCallout">
          <a:avLst>
            <a:gd name="adj1" fmla="val -77435"/>
            <a:gd name="adj2" fmla="val 35486"/>
            <a:gd name="adj3" fmla="val 16667"/>
          </a:avLst>
        </a:prstGeom>
        <a:solidFill>
          <a:srgbClr val="FFFFFF"/>
        </a:solidFill>
        <a:ln w="25400" algn="ctr">
          <a:solidFill>
            <a:srgbClr val="F79646"/>
          </a:solidFill>
          <a:miter lim="800000"/>
          <a:headEnd/>
          <a:tailEnd/>
        </a:ln>
        <a:effectLst>
          <a:outerShdw blurRad="25400" dist="170861" dir="2519233" sx="99001" sy="99001" algn="t" rotWithShape="0">
            <a:srgbClr val="000000"/>
          </a:outerShdw>
        </a:effec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　【Single reference samples】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Result for single reference samples. Although noise should be zero, noise may appear.</a:t>
          </a:r>
          <a:endParaRPr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523875</xdr:colOff>
      <xdr:row>59</xdr:row>
      <xdr:rowOff>28575</xdr:rowOff>
    </xdr:from>
    <xdr:to>
      <xdr:col>9</xdr:col>
      <xdr:colOff>295275</xdr:colOff>
      <xdr:row>65</xdr:row>
      <xdr:rowOff>104775</xdr:rowOff>
    </xdr:to>
    <xdr:sp macro="" textlink="">
      <xdr:nvSpPr>
        <xdr:cNvPr id="76141" name="角丸四角形吹き出し 1">
          <a:extLst>
            <a:ext uri="{FF2B5EF4-FFF2-40B4-BE49-F238E27FC236}">
              <a16:creationId xmlns:a16="http://schemas.microsoft.com/office/drawing/2014/main" id="{00000000-0008-0000-0600-00006D290100}"/>
            </a:ext>
          </a:extLst>
        </xdr:cNvPr>
        <xdr:cNvSpPr>
          <a:spLocks noChangeArrowheads="1"/>
        </xdr:cNvSpPr>
      </xdr:nvSpPr>
      <xdr:spPr bwMode="auto">
        <a:xfrm>
          <a:off x="3695700" y="9429750"/>
          <a:ext cx="2124075" cy="1038225"/>
        </a:xfrm>
        <a:prstGeom prst="wedgeRoundRectCallout">
          <a:avLst>
            <a:gd name="adj1" fmla="val -72870"/>
            <a:gd name="adj2" fmla="val 10551"/>
            <a:gd name="adj3" fmla="val 16667"/>
          </a:avLst>
        </a:prstGeom>
        <a:solidFill>
          <a:srgbClr val="FFFFFF"/>
        </a:solidFill>
        <a:ln w="25400" algn="ctr">
          <a:solidFill>
            <a:srgbClr val="F79646"/>
          </a:solidFill>
          <a:miter lim="800000"/>
          <a:headEnd/>
          <a:tailEnd/>
        </a:ln>
        <a:effectLst>
          <a:outerShdw blurRad="25400" dist="170861" dir="2519233" sx="99001" sy="99001" algn="t" rotWithShape="0">
            <a:srgbClr val="000000"/>
          </a:outerShdw>
        </a:effec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　【Mixed reference sample】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"Ratio" displays the ratio of SLO to SLR. </a:t>
          </a:r>
          <a:endParaRPr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14</xdr:col>
      <xdr:colOff>342900</xdr:colOff>
      <xdr:row>56</xdr:row>
      <xdr:rowOff>142875</xdr:rowOff>
    </xdr:from>
    <xdr:to>
      <xdr:col>19</xdr:col>
      <xdr:colOff>323850</xdr:colOff>
      <xdr:row>69</xdr:row>
      <xdr:rowOff>28575</xdr:rowOff>
    </xdr:to>
    <xdr:graphicFrame macro="">
      <xdr:nvGraphicFramePr>
        <xdr:cNvPr id="1060461" name="グラフ 68">
          <a:extLst>
            <a:ext uri="{FF2B5EF4-FFF2-40B4-BE49-F238E27FC236}">
              <a16:creationId xmlns:a16="http://schemas.microsoft.com/office/drawing/2014/main" id="{00000000-0008-0000-0600-00006D2E1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571500</xdr:colOff>
      <xdr:row>27</xdr:row>
      <xdr:rowOff>47625</xdr:rowOff>
    </xdr:from>
    <xdr:to>
      <xdr:col>26</xdr:col>
      <xdr:colOff>381000</xdr:colOff>
      <xdr:row>40</xdr:row>
      <xdr:rowOff>114300</xdr:rowOff>
    </xdr:to>
    <xdr:grpSp>
      <xdr:nvGrpSpPr>
        <xdr:cNvPr id="1060462" name="Group 373">
          <a:extLst>
            <a:ext uri="{FF2B5EF4-FFF2-40B4-BE49-F238E27FC236}">
              <a16:creationId xmlns:a16="http://schemas.microsoft.com/office/drawing/2014/main" id="{00000000-0008-0000-0600-00006E2E1000}"/>
            </a:ext>
          </a:extLst>
        </xdr:cNvPr>
        <xdr:cNvGrpSpPr>
          <a:grpSpLocks/>
        </xdr:cNvGrpSpPr>
      </xdr:nvGrpSpPr>
      <xdr:grpSpPr bwMode="auto">
        <a:xfrm>
          <a:off x="8775700" y="4937125"/>
          <a:ext cx="6908800" cy="2428875"/>
          <a:chOff x="960" y="468"/>
          <a:chExt cx="759" cy="224"/>
        </a:xfrm>
      </xdr:grpSpPr>
      <xdr:pic>
        <xdr:nvPicPr>
          <xdr:cNvPr id="1060403" name="Picture 372">
            <a:extLst>
              <a:ext uri="{FF2B5EF4-FFF2-40B4-BE49-F238E27FC236}">
                <a16:creationId xmlns:a16="http://schemas.microsoft.com/office/drawing/2014/main" id="{00000000-0008-0000-0600-0000332E1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/>
          <a:srcRect l="2023" t="19943" r="48962" b="53435"/>
          <a:stretch>
            <a:fillRect/>
          </a:stretch>
        </xdr:blipFill>
        <xdr:spPr bwMode="auto">
          <a:xfrm>
            <a:off x="960" y="468"/>
            <a:ext cx="759" cy="224"/>
          </a:xfrm>
          <a:prstGeom prst="rect">
            <a:avLst/>
          </a:prstGeom>
          <a:noFill/>
          <a:ln w="57150">
            <a:solidFill>
              <a:srgbClr val="FF0000"/>
            </a:solidFill>
            <a:miter lim="800000"/>
            <a:headEnd/>
            <a:tailEnd/>
          </a:ln>
          <a:effectLst>
            <a:outerShdw dist="107763" dir="2700000" algn="ctr" rotWithShape="0">
              <a:srgbClr val="000000"/>
            </a:outerShdw>
          </a:effectLst>
        </xdr:spPr>
      </xdr:pic>
      <xdr:sp macro="" textlink="">
        <xdr:nvSpPr>
          <xdr:cNvPr id="1060404" name="Oval 352">
            <a:extLst>
              <a:ext uri="{FF2B5EF4-FFF2-40B4-BE49-F238E27FC236}">
                <a16:creationId xmlns:a16="http://schemas.microsoft.com/office/drawing/2014/main" id="{00000000-0008-0000-0600-0000342E1000}"/>
              </a:ext>
            </a:extLst>
          </xdr:cNvPr>
          <xdr:cNvSpPr>
            <a:spLocks noChangeArrowheads="1"/>
          </xdr:cNvSpPr>
        </xdr:nvSpPr>
        <xdr:spPr bwMode="auto">
          <a:xfrm>
            <a:off x="1614" y="559"/>
            <a:ext cx="68" cy="33"/>
          </a:xfrm>
          <a:prstGeom prst="ellipse">
            <a:avLst/>
          </a:prstGeom>
          <a:noFill/>
          <a:ln w="28575" algn="ctr">
            <a:solidFill>
              <a:srgbClr val="FF0000"/>
            </a:solidFill>
            <a:round/>
            <a:headEnd/>
            <a:tailEnd/>
          </a:ln>
          <a:effectLst>
            <a:outerShdw dist="35921" dir="2700000" algn="ctr" rotWithShape="0">
              <a:srgbClr val="000000"/>
            </a:outerShdw>
          </a:effectLst>
        </xdr:spPr>
      </xdr:sp>
      <xdr:sp macro="" textlink="">
        <xdr:nvSpPr>
          <xdr:cNvPr id="76129" name="Text Box 353">
            <a:extLst>
              <a:ext uri="{FF2B5EF4-FFF2-40B4-BE49-F238E27FC236}">
                <a16:creationId xmlns:a16="http://schemas.microsoft.com/office/drawing/2014/main" id="{00000000-0008-0000-0600-0000612901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81" y="533"/>
            <a:ext cx="128" cy="20"/>
          </a:xfrm>
          <a:prstGeom prst="rect">
            <a:avLst/>
          </a:prstGeom>
          <a:solidFill>
            <a:srgbClr val="FFFFFF">
              <a:alpha val="50999"/>
            </a:srgbClr>
          </a:solidFill>
          <a:ln>
            <a:noFill/>
          </a:ln>
        </xdr:spPr>
        <xdr:txBody>
          <a:bodyPr vertOverflow="clip" wrap="square" lIns="36576" tIns="18288" rIns="0" bIns="0" anchor="t" upright="1"/>
          <a:lstStyle/>
          <a:p>
            <a:pPr algn="l" rtl="0">
              <a:defRPr sz="1000"/>
            </a:pPr>
            <a:r>
              <a:rPr lang="ja-JP" altLang="en-US" sz="1100" b="1" i="0" u="sng" strike="noStrike" baseline="0">
                <a:solidFill>
                  <a:srgbClr val="FF0000"/>
                </a:solidFill>
                <a:latin typeface="ＭＳ ゴシック"/>
                <a:ea typeface="ＭＳ ゴシック"/>
              </a:rPr>
              <a:t>Over linear</a:t>
            </a:r>
            <a:endParaRPr lang="ja-JP" altLang="en-US"/>
          </a:p>
        </xdr:txBody>
      </xdr:sp>
      <xdr:sp macro="" textlink="">
        <xdr:nvSpPr>
          <xdr:cNvPr id="1060406" name="Oval 354">
            <a:extLst>
              <a:ext uri="{FF2B5EF4-FFF2-40B4-BE49-F238E27FC236}">
                <a16:creationId xmlns:a16="http://schemas.microsoft.com/office/drawing/2014/main" id="{00000000-0008-0000-0600-0000362E1000}"/>
              </a:ext>
            </a:extLst>
          </xdr:cNvPr>
          <xdr:cNvSpPr>
            <a:spLocks noChangeArrowheads="1"/>
          </xdr:cNvSpPr>
        </xdr:nvSpPr>
        <xdr:spPr bwMode="auto">
          <a:xfrm>
            <a:off x="1154" y="542"/>
            <a:ext cx="98" cy="53"/>
          </a:xfrm>
          <a:prstGeom prst="ellipse">
            <a:avLst/>
          </a:prstGeom>
          <a:noFill/>
          <a:ln w="28575" algn="ctr">
            <a:solidFill>
              <a:srgbClr val="FF0000"/>
            </a:solidFill>
            <a:round/>
            <a:headEnd/>
            <a:tailEnd/>
          </a:ln>
          <a:effectLst>
            <a:outerShdw dist="35921" dir="2700000" algn="ctr" rotWithShape="0">
              <a:srgbClr val="000000"/>
            </a:outerShdw>
          </a:effectLst>
        </xdr:spPr>
      </xdr:sp>
      <xdr:sp macro="" textlink="">
        <xdr:nvSpPr>
          <xdr:cNvPr id="76131" name="Text Box 355">
            <a:extLst>
              <a:ext uri="{FF2B5EF4-FFF2-40B4-BE49-F238E27FC236}">
                <a16:creationId xmlns:a16="http://schemas.microsoft.com/office/drawing/2014/main" id="{00000000-0008-0000-0600-0000632901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3" y="592"/>
            <a:ext cx="144" cy="54"/>
          </a:xfrm>
          <a:prstGeom prst="rect">
            <a:avLst/>
          </a:prstGeom>
          <a:solidFill>
            <a:srgbClr val="FFFFFF"/>
          </a:solidFill>
          <a:ln w="9525">
            <a:solidFill>
              <a:srgbClr val="FF0000"/>
            </a:solidFill>
            <a:miter lim="800000"/>
            <a:headEnd/>
            <a:tailEnd/>
          </a:ln>
          <a:effectLst>
            <a:outerShdw dist="71842" dir="2700000" algn="ctr" rotWithShape="0">
              <a:srgbClr val="000000"/>
            </a:outerShdw>
          </a:effec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00" b="1" i="0" u="sng" strike="noStrike" baseline="0">
                <a:solidFill>
                  <a:srgbClr val="FF0000"/>
                </a:solidFill>
                <a:latin typeface="Arial" panose="020B0604020202020204" pitchFamily="34" charset="0"/>
                <a:ea typeface="ＭＳ ゴシック"/>
                <a:cs typeface="Arial" panose="020B0604020202020204" pitchFamily="34" charset="0"/>
              </a:rPr>
              <a:t>Eliminate from the average calculation.</a:t>
            </a:r>
            <a:endParaRPr lang="ja-JP" altLang="en-US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060408" name="Line 357">
            <a:extLst>
              <a:ext uri="{FF2B5EF4-FFF2-40B4-BE49-F238E27FC236}">
                <a16:creationId xmlns:a16="http://schemas.microsoft.com/office/drawing/2014/main" id="{00000000-0008-0000-0600-0000382E1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1132" y="587"/>
            <a:ext cx="25" cy="16"/>
          </a:xfrm>
          <a:prstGeom prst="line">
            <a:avLst/>
          </a:prstGeom>
          <a:noFill/>
          <a:ln w="38100">
            <a:solidFill>
              <a:srgbClr val="FF0000"/>
            </a:solidFill>
            <a:round/>
            <a:headEnd/>
            <a:tailEnd type="triangle" w="med" len="med"/>
          </a:ln>
          <a:effectLst>
            <a:outerShdw dist="35921" dir="2700000" algn="ctr" rotWithShape="0">
              <a:srgbClr val="000000"/>
            </a:outerShdw>
          </a:effectLst>
        </xdr:spPr>
        <xdr:txBody>
          <a:bodyPr/>
          <a:lstStyle/>
          <a:p>
            <a:endParaRPr lang="ja-JP" altLang="en-US"/>
          </a:p>
        </xdr:txBody>
      </xdr:sp>
      <xdr:sp macro="" textlink="">
        <xdr:nvSpPr>
          <xdr:cNvPr id="1060469" name="Freeform 368">
            <a:extLst>
              <a:ext uri="{FF2B5EF4-FFF2-40B4-BE49-F238E27FC236}">
                <a16:creationId xmlns:a16="http://schemas.microsoft.com/office/drawing/2014/main" id="{00000000-0008-0000-0600-0000752E1000}"/>
              </a:ext>
            </a:extLst>
          </xdr:cNvPr>
          <xdr:cNvSpPr>
            <a:spLocks/>
          </xdr:cNvSpPr>
        </xdr:nvSpPr>
        <xdr:spPr bwMode="auto">
          <a:xfrm>
            <a:off x="1284" y="502"/>
            <a:ext cx="288" cy="39"/>
          </a:xfrm>
          <a:custGeom>
            <a:avLst/>
            <a:gdLst>
              <a:gd name="T0" fmla="*/ 6 w 381"/>
              <a:gd name="T1" fmla="*/ 20 h 41"/>
              <a:gd name="T2" fmla="*/ 5 w 381"/>
              <a:gd name="T3" fmla="*/ 7 h 41"/>
              <a:gd name="T4" fmla="*/ 3 w 381"/>
              <a:gd name="T5" fmla="*/ 1 h 41"/>
              <a:gd name="T6" fmla="*/ 2 w 381"/>
              <a:gd name="T7" fmla="*/ 10 h 41"/>
              <a:gd name="T8" fmla="*/ 0 w 381"/>
              <a:gd name="T9" fmla="*/ 20 h 41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381"/>
              <a:gd name="T16" fmla="*/ 0 h 41"/>
              <a:gd name="T17" fmla="*/ 381 w 381"/>
              <a:gd name="T18" fmla="*/ 41 h 41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381" h="41">
                <a:moveTo>
                  <a:pt x="381" y="40"/>
                </a:moveTo>
                <a:cubicBezTo>
                  <a:pt x="366" y="35"/>
                  <a:pt x="322" y="13"/>
                  <a:pt x="290" y="7"/>
                </a:cubicBezTo>
                <a:cubicBezTo>
                  <a:pt x="258" y="1"/>
                  <a:pt x="219" y="0"/>
                  <a:pt x="186" y="1"/>
                </a:cubicBezTo>
                <a:cubicBezTo>
                  <a:pt x="153" y="2"/>
                  <a:pt x="121" y="7"/>
                  <a:pt x="90" y="14"/>
                </a:cubicBezTo>
                <a:cubicBezTo>
                  <a:pt x="59" y="21"/>
                  <a:pt x="19" y="36"/>
                  <a:pt x="0" y="41"/>
                </a:cubicBezTo>
              </a:path>
            </a:pathLst>
          </a:custGeom>
          <a:noFill/>
          <a:ln w="76200">
            <a:solidFill>
              <a:srgbClr val="FF00FF"/>
            </a:solidFill>
            <a:round/>
            <a:headEnd/>
            <a:tailEnd type="triangle" w="med" len="med"/>
          </a:ln>
        </xdr:spPr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132291</xdr:colOff>
      <xdr:row>71</xdr:row>
      <xdr:rowOff>6350</xdr:rowOff>
    </xdr:from>
    <xdr:to>
      <xdr:col>13</xdr:col>
      <xdr:colOff>3236</xdr:colOff>
      <xdr:row>79</xdr:row>
      <xdr:rowOff>64083</xdr:rowOff>
    </xdr:to>
    <xdr:graphicFrame macro="">
      <xdr:nvGraphicFramePr>
        <xdr:cNvPr id="809336" name="グラフ 4">
          <a:extLst>
            <a:ext uri="{FF2B5EF4-FFF2-40B4-BE49-F238E27FC236}">
              <a16:creationId xmlns:a16="http://schemas.microsoft.com/office/drawing/2014/main" id="{00000000-0008-0000-0700-000078590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188048</xdr:colOff>
      <xdr:row>79</xdr:row>
      <xdr:rowOff>111873</xdr:rowOff>
    </xdr:from>
    <xdr:to>
      <xdr:col>12</xdr:col>
      <xdr:colOff>384098</xdr:colOff>
      <xdr:row>87</xdr:row>
      <xdr:rowOff>152673</xdr:rowOff>
    </xdr:to>
    <xdr:graphicFrame macro="">
      <xdr:nvGraphicFramePr>
        <xdr:cNvPr id="809339" name="グラフ 2">
          <a:extLst>
            <a:ext uri="{FF2B5EF4-FFF2-40B4-BE49-F238E27FC236}">
              <a16:creationId xmlns:a16="http://schemas.microsoft.com/office/drawing/2014/main" id="{00000000-0008-0000-0700-00007B590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45"/>
  <sheetViews>
    <sheetView showGridLines="0" tabSelected="1" workbookViewId="0">
      <selection sqref="A1:P38"/>
    </sheetView>
  </sheetViews>
  <sheetFormatPr baseColWidth="10" defaultColWidth="8.796875" defaultRowHeight="14"/>
  <cols>
    <col min="10" max="10" width="9.19921875" bestFit="1" customWidth="1"/>
    <col min="11" max="13" width="9" bestFit="1" customWidth="1"/>
    <col min="14" max="14" width="15.796875" bestFit="1" customWidth="1"/>
    <col min="15" max="17" width="9" bestFit="1" customWidth="1"/>
    <col min="18" max="19" width="9.19921875" bestFit="1" customWidth="1"/>
  </cols>
  <sheetData>
    <row r="1" spans="1:19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</row>
    <row r="2" spans="1:19">
      <c r="A2" s="10"/>
      <c r="B2" s="11"/>
      <c r="C2" s="284" t="s">
        <v>343</v>
      </c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6"/>
      <c r="P2" s="11"/>
      <c r="Q2" s="10"/>
      <c r="R2" s="10"/>
      <c r="S2" s="10"/>
    </row>
    <row r="3" spans="1:19">
      <c r="A3" s="10"/>
      <c r="B3" s="11"/>
      <c r="C3" s="287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9"/>
      <c r="P3" s="11"/>
      <c r="Q3" s="10"/>
      <c r="R3" s="10"/>
      <c r="S3" s="10"/>
    </row>
    <row r="4" spans="1:19" ht="25">
      <c r="A4" s="10"/>
      <c r="B4" s="11"/>
      <c r="C4" s="12"/>
      <c r="D4" s="12"/>
      <c r="E4" s="12"/>
      <c r="F4" s="12"/>
      <c r="G4" s="12"/>
      <c r="H4" s="12"/>
      <c r="I4" s="12"/>
      <c r="J4" s="12"/>
      <c r="K4" s="12"/>
      <c r="L4" s="13"/>
      <c r="M4" s="14" t="s">
        <v>323</v>
      </c>
      <c r="N4" s="15"/>
      <c r="O4" s="12"/>
      <c r="P4" s="11"/>
      <c r="Q4" s="10"/>
      <c r="R4" s="10"/>
      <c r="S4" s="10"/>
    </row>
    <row r="5" spans="1:19">
      <c r="A5" s="10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0"/>
      <c r="R5" s="10"/>
      <c r="S5" s="10"/>
    </row>
    <row r="6" spans="1:19" ht="12.75" customHeight="1">
      <c r="A6" s="10"/>
      <c r="B6" s="241" t="s">
        <v>45</v>
      </c>
      <c r="C6" s="254"/>
      <c r="D6" s="290"/>
      <c r="E6" s="291"/>
      <c r="F6" s="291"/>
      <c r="G6" s="291"/>
      <c r="H6" s="291"/>
      <c r="I6" s="291"/>
      <c r="J6" s="291"/>
      <c r="K6" s="292"/>
      <c r="L6" s="10"/>
      <c r="M6" s="262" t="s">
        <v>149</v>
      </c>
      <c r="N6" s="242"/>
      <c r="O6" s="297"/>
      <c r="P6" s="299"/>
      <c r="Q6" s="28"/>
      <c r="R6" s="28"/>
    </row>
    <row r="7" spans="1:19" ht="12.75" customHeight="1">
      <c r="A7" s="10"/>
      <c r="B7" s="243"/>
      <c r="C7" s="255"/>
      <c r="D7" s="293"/>
      <c r="E7" s="294"/>
      <c r="F7" s="294"/>
      <c r="G7" s="294"/>
      <c r="H7" s="294"/>
      <c r="I7" s="294"/>
      <c r="J7" s="294"/>
      <c r="K7" s="295"/>
      <c r="L7" s="10"/>
      <c r="M7" s="243"/>
      <c r="N7" s="244"/>
      <c r="O7" s="300"/>
      <c r="P7" s="302"/>
      <c r="Q7" s="28"/>
      <c r="R7" s="28"/>
    </row>
    <row r="8" spans="1:19" ht="18">
      <c r="A8" s="10"/>
      <c r="B8" s="11"/>
      <c r="C8" s="16"/>
      <c r="D8" s="17"/>
      <c r="E8" s="17"/>
      <c r="F8" s="18"/>
      <c r="G8" s="18"/>
      <c r="H8" s="18"/>
      <c r="I8" s="18"/>
      <c r="J8" s="11"/>
      <c r="K8" s="11"/>
      <c r="L8" s="11"/>
      <c r="M8" s="11"/>
      <c r="N8" s="11"/>
      <c r="O8" s="11"/>
      <c r="P8" s="11"/>
      <c r="Q8" s="10"/>
      <c r="R8" s="10"/>
      <c r="S8" s="10"/>
    </row>
    <row r="9" spans="1:19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</row>
    <row r="10" spans="1:19">
      <c r="A10" s="10"/>
      <c r="B10" s="296" t="s">
        <v>114</v>
      </c>
      <c r="C10" s="296"/>
      <c r="D10" s="296"/>
      <c r="E10" s="297"/>
      <c r="F10" s="298"/>
      <c r="G10" s="298"/>
      <c r="H10" s="299"/>
      <c r="I10" s="304" t="str">
        <f>IF(E10="1st exp.","(Highest soluble conc. in the next exp is","")</f>
        <v/>
      </c>
      <c r="J10" s="304"/>
      <c r="K10" s="304"/>
      <c r="L10" s="304"/>
      <c r="M10" s="304"/>
      <c r="N10" s="303" t="str">
        <f>IF(E10="1st exp.",(ResultFormat!O128)*2,"")</f>
        <v/>
      </c>
      <c r="O10" s="304" t="str">
        <f>IF(E10="1st exp.","dilution)","")</f>
        <v/>
      </c>
      <c r="P10" s="10"/>
      <c r="Q10" s="10"/>
      <c r="R10" s="10"/>
    </row>
    <row r="11" spans="1:19">
      <c r="A11" s="10"/>
      <c r="B11" s="296"/>
      <c r="C11" s="296"/>
      <c r="D11" s="296"/>
      <c r="E11" s="300"/>
      <c r="F11" s="301"/>
      <c r="G11" s="301"/>
      <c r="H11" s="302"/>
      <c r="I11" s="304"/>
      <c r="J11" s="304"/>
      <c r="K11" s="304"/>
      <c r="L11" s="304"/>
      <c r="M11" s="304"/>
      <c r="N11" s="303"/>
      <c r="O11" s="304"/>
      <c r="P11" s="10"/>
      <c r="Q11" s="10"/>
      <c r="R11" s="10"/>
    </row>
    <row r="12" spans="1:19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</row>
    <row r="13" spans="1:19">
      <c r="A13" s="10"/>
      <c r="B13" s="262" t="s">
        <v>46</v>
      </c>
      <c r="C13" s="272"/>
      <c r="D13" s="273"/>
      <c r="E13" s="277"/>
      <c r="F13" s="278"/>
      <c r="G13" s="278"/>
      <c r="H13" s="279"/>
      <c r="I13" s="19"/>
      <c r="J13" s="241" t="s">
        <v>47</v>
      </c>
      <c r="K13" s="254"/>
      <c r="L13" s="242"/>
      <c r="M13" s="283"/>
      <c r="N13" s="283"/>
      <c r="O13" s="283"/>
      <c r="P13" s="283"/>
      <c r="Q13" s="10"/>
      <c r="R13" s="10"/>
      <c r="S13" s="10"/>
    </row>
    <row r="14" spans="1:19">
      <c r="A14" s="10"/>
      <c r="B14" s="274"/>
      <c r="C14" s="275"/>
      <c r="D14" s="276"/>
      <c r="E14" s="280"/>
      <c r="F14" s="281"/>
      <c r="G14" s="281"/>
      <c r="H14" s="282"/>
      <c r="I14" s="11"/>
      <c r="J14" s="243"/>
      <c r="K14" s="255"/>
      <c r="L14" s="244"/>
      <c r="M14" s="283"/>
      <c r="N14" s="283"/>
      <c r="O14" s="283"/>
      <c r="P14" s="283"/>
      <c r="Q14" s="10"/>
      <c r="R14" s="10"/>
      <c r="S14" s="10"/>
    </row>
    <row r="15" spans="1:19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</row>
    <row r="16" spans="1:19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</row>
    <row r="17" spans="1:25">
      <c r="A17" s="10"/>
      <c r="B17" s="241" t="s">
        <v>42</v>
      </c>
      <c r="C17" s="254"/>
      <c r="D17" s="242"/>
      <c r="E17" s="256"/>
      <c r="F17" s="10"/>
      <c r="G17" s="241" t="s">
        <v>43</v>
      </c>
      <c r="H17" s="242"/>
      <c r="I17" s="258"/>
      <c r="J17" s="259"/>
      <c r="K17" s="262" t="s">
        <v>215</v>
      </c>
      <c r="L17" s="263"/>
      <c r="M17" s="266"/>
      <c r="N17" s="267"/>
      <c r="O17" s="268"/>
      <c r="P17" s="10"/>
      <c r="Q17" s="10"/>
      <c r="R17" s="10"/>
      <c r="S17" s="10"/>
    </row>
    <row r="18" spans="1:25">
      <c r="A18" s="10"/>
      <c r="B18" s="243"/>
      <c r="C18" s="255"/>
      <c r="D18" s="244"/>
      <c r="E18" s="257"/>
      <c r="F18" s="10"/>
      <c r="G18" s="243"/>
      <c r="H18" s="244"/>
      <c r="I18" s="260"/>
      <c r="J18" s="261"/>
      <c r="K18" s="264"/>
      <c r="L18" s="265"/>
      <c r="M18" s="269"/>
      <c r="N18" s="270"/>
      <c r="O18" s="271"/>
      <c r="P18" s="10"/>
      <c r="Q18" s="10"/>
      <c r="R18" s="10"/>
      <c r="S18" s="10"/>
    </row>
    <row r="19" spans="1:25">
      <c r="A19" s="10"/>
      <c r="B19" s="22">
        <v>25</v>
      </c>
      <c r="C19" s="10"/>
      <c r="D19" s="36"/>
      <c r="E19" s="37"/>
      <c r="F19" s="37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5"/>
      <c r="U19" s="25"/>
      <c r="V19" s="25"/>
      <c r="W19" s="25"/>
      <c r="X19" s="25"/>
      <c r="Y19" s="38"/>
    </row>
    <row r="20" spans="1:25">
      <c r="A20" s="10"/>
      <c r="B20" s="22">
        <v>500</v>
      </c>
      <c r="C20" s="10"/>
      <c r="D20" s="10"/>
      <c r="E20" s="37"/>
      <c r="F20" s="37"/>
      <c r="G20" s="22"/>
      <c r="H20" s="22"/>
      <c r="I20" s="22"/>
      <c r="J20" s="22"/>
      <c r="K20" s="22"/>
      <c r="L20" s="22"/>
      <c r="M20" s="22"/>
      <c r="N20" s="27"/>
      <c r="O20" s="27"/>
      <c r="P20" s="27"/>
      <c r="Q20" s="27"/>
      <c r="R20" s="27"/>
      <c r="S20" s="27"/>
      <c r="T20" s="27"/>
      <c r="U20" s="25"/>
      <c r="V20" s="25"/>
      <c r="W20" s="25"/>
      <c r="X20" s="25"/>
      <c r="Y20" s="38"/>
    </row>
    <row r="21" spans="1:25" ht="12.75" customHeight="1">
      <c r="A21" s="10"/>
      <c r="B21" s="22">
        <v>250</v>
      </c>
      <c r="C21" s="10"/>
      <c r="D21" s="23"/>
      <c r="E21" s="37"/>
      <c r="F21" s="37"/>
      <c r="G21" s="22"/>
      <c r="H21" s="22"/>
      <c r="I21" s="22" t="s">
        <v>213</v>
      </c>
      <c r="J21" s="39">
        <v>0.2</v>
      </c>
      <c r="K21" s="39">
        <v>0.1</v>
      </c>
      <c r="L21" s="39">
        <v>0.05</v>
      </c>
      <c r="M21" s="39">
        <v>2.5000000000000001E-2</v>
      </c>
      <c r="N21" s="40">
        <v>1.2500000000000001E-2</v>
      </c>
      <c r="O21" s="39">
        <v>6.2500000000000003E-3</v>
      </c>
      <c r="P21" s="39">
        <v>3.1250000000000002E-3</v>
      </c>
      <c r="Q21" s="39">
        <v>1.5625000000000001E-3</v>
      </c>
      <c r="R21" s="42">
        <v>7.8125000000000004E-4</v>
      </c>
      <c r="S21" s="42">
        <v>3.9062500000000002E-4</v>
      </c>
      <c r="T21" s="25"/>
      <c r="U21" s="25"/>
      <c r="V21" s="25"/>
      <c r="W21" s="25"/>
      <c r="X21" s="25"/>
      <c r="Y21" s="38"/>
    </row>
    <row r="22" spans="1:25" ht="12.75" customHeight="1">
      <c r="A22" s="10"/>
      <c r="B22" s="22">
        <v>125</v>
      </c>
      <c r="C22" s="10"/>
      <c r="D22" s="23"/>
      <c r="E22" s="37"/>
      <c r="F22" s="37"/>
      <c r="G22" s="22"/>
      <c r="H22" s="22"/>
      <c r="I22" s="22" t="s">
        <v>214</v>
      </c>
      <c r="J22" s="39">
        <v>1</v>
      </c>
      <c r="K22" s="39">
        <v>0.5</v>
      </c>
      <c r="L22" s="39">
        <v>0.25</v>
      </c>
      <c r="M22" s="39">
        <v>0.125</v>
      </c>
      <c r="N22" s="40">
        <v>6.25E-2</v>
      </c>
      <c r="O22" s="39">
        <v>3.125E-2</v>
      </c>
      <c r="P22" s="39">
        <v>1.5625E-2</v>
      </c>
      <c r="Q22" s="39">
        <v>7.8125E-3</v>
      </c>
      <c r="R22" s="39">
        <v>3.90625E-3</v>
      </c>
      <c r="S22" s="39">
        <v>1.953125E-3</v>
      </c>
      <c r="T22" s="25"/>
      <c r="U22" s="25"/>
      <c r="V22" s="25"/>
      <c r="W22" s="25"/>
      <c r="X22" s="25"/>
      <c r="Y22" s="38"/>
    </row>
    <row r="23" spans="1:25">
      <c r="A23" s="10"/>
      <c r="B23" s="22">
        <v>62.5</v>
      </c>
      <c r="C23" s="10"/>
      <c r="D23" s="10"/>
      <c r="E23" s="37"/>
      <c r="F23" s="37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5"/>
      <c r="U23" s="25"/>
      <c r="V23" s="25"/>
      <c r="W23" s="25"/>
      <c r="X23" s="25"/>
      <c r="Y23" s="38"/>
    </row>
    <row r="24" spans="1:25">
      <c r="A24" s="10"/>
      <c r="B24" s="22">
        <v>31.25</v>
      </c>
      <c r="C24" s="10"/>
      <c r="D24" s="10"/>
      <c r="E24" s="37"/>
      <c r="F24" s="37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5"/>
      <c r="U24" s="25"/>
      <c r="V24" s="25"/>
      <c r="W24" s="25"/>
      <c r="X24" s="25"/>
      <c r="Y24" s="38"/>
    </row>
    <row r="25" spans="1:25">
      <c r="A25" s="10"/>
      <c r="B25" s="22">
        <v>15.625</v>
      </c>
      <c r="C25" s="10"/>
      <c r="D25" s="10"/>
      <c r="E25" s="37"/>
      <c r="F25" s="37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5"/>
      <c r="U25" s="25"/>
      <c r="V25" s="25"/>
      <c r="W25" s="25"/>
      <c r="X25" s="25"/>
      <c r="Y25" s="38"/>
    </row>
    <row r="26" spans="1:25">
      <c r="A26" s="10"/>
      <c r="B26" s="10"/>
      <c r="C26" s="10"/>
      <c r="D26" s="10"/>
      <c r="E26" s="37"/>
      <c r="F26" s="37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5"/>
      <c r="U26" s="25"/>
      <c r="V26" s="25"/>
      <c r="W26" s="25"/>
      <c r="X26" s="25"/>
      <c r="Y26" s="38"/>
    </row>
    <row r="27" spans="1:25">
      <c r="A27" s="10"/>
      <c r="B27" s="241" t="s">
        <v>44</v>
      </c>
      <c r="C27" s="242"/>
      <c r="D27" s="10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8"/>
      <c r="U27" s="38"/>
      <c r="V27" s="38"/>
      <c r="W27" s="38"/>
      <c r="X27" s="38"/>
      <c r="Y27" s="38"/>
    </row>
    <row r="28" spans="1:25">
      <c r="A28" s="10"/>
      <c r="B28" s="243"/>
      <c r="C28" s="244"/>
      <c r="D28" s="10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8"/>
      <c r="U28" s="38"/>
      <c r="V28" s="38"/>
      <c r="W28" s="38"/>
      <c r="X28" s="38"/>
      <c r="Y28" s="38"/>
    </row>
    <row r="29" spans="1:25">
      <c r="A29" s="10"/>
      <c r="B29" s="245"/>
      <c r="C29" s="246"/>
      <c r="D29" s="246"/>
      <c r="E29" s="246"/>
      <c r="F29" s="246"/>
      <c r="G29" s="246"/>
      <c r="H29" s="246"/>
      <c r="I29" s="246"/>
      <c r="J29" s="246"/>
      <c r="K29" s="246"/>
      <c r="L29" s="246"/>
      <c r="M29" s="246"/>
      <c r="N29" s="246"/>
      <c r="O29" s="246"/>
      <c r="P29" s="247"/>
      <c r="Q29" s="10"/>
      <c r="R29" s="10"/>
      <c r="S29" s="10"/>
    </row>
    <row r="30" spans="1:25">
      <c r="A30" s="10"/>
      <c r="B30" s="248"/>
      <c r="C30" s="249"/>
      <c r="D30" s="249"/>
      <c r="E30" s="249"/>
      <c r="F30" s="249"/>
      <c r="G30" s="249"/>
      <c r="H30" s="249"/>
      <c r="I30" s="249"/>
      <c r="J30" s="249"/>
      <c r="K30" s="249"/>
      <c r="L30" s="249"/>
      <c r="M30" s="249"/>
      <c r="N30" s="249"/>
      <c r="O30" s="249"/>
      <c r="P30" s="250"/>
      <c r="Q30" s="10"/>
      <c r="R30" s="10"/>
      <c r="S30" s="10"/>
    </row>
    <row r="31" spans="1:25">
      <c r="A31" s="10"/>
      <c r="B31" s="248"/>
      <c r="C31" s="249"/>
      <c r="D31" s="249"/>
      <c r="E31" s="249"/>
      <c r="F31" s="249"/>
      <c r="G31" s="249"/>
      <c r="H31" s="249"/>
      <c r="I31" s="249"/>
      <c r="J31" s="249"/>
      <c r="K31" s="249"/>
      <c r="L31" s="249"/>
      <c r="M31" s="249"/>
      <c r="N31" s="249"/>
      <c r="O31" s="249"/>
      <c r="P31" s="250"/>
      <c r="Q31" s="10"/>
      <c r="R31" s="10"/>
      <c r="S31" s="10"/>
    </row>
    <row r="32" spans="1:25">
      <c r="A32" s="10"/>
      <c r="B32" s="248"/>
      <c r="C32" s="249"/>
      <c r="D32" s="249"/>
      <c r="E32" s="249"/>
      <c r="F32" s="249"/>
      <c r="G32" s="249"/>
      <c r="H32" s="249"/>
      <c r="I32" s="249"/>
      <c r="J32" s="249"/>
      <c r="K32" s="249"/>
      <c r="L32" s="249"/>
      <c r="M32" s="249"/>
      <c r="N32" s="249"/>
      <c r="O32" s="249"/>
      <c r="P32" s="250"/>
      <c r="Q32" s="10"/>
      <c r="R32" s="10"/>
      <c r="S32" s="10"/>
    </row>
    <row r="33" spans="1:19">
      <c r="A33" s="10"/>
      <c r="B33" s="248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50"/>
      <c r="Q33" s="10"/>
      <c r="R33" s="10"/>
      <c r="S33" s="10"/>
    </row>
    <row r="34" spans="1:19">
      <c r="A34" s="10"/>
      <c r="B34" s="248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50"/>
      <c r="Q34" s="10"/>
      <c r="R34" s="10"/>
      <c r="S34" s="10"/>
    </row>
    <row r="35" spans="1:19">
      <c r="A35" s="10"/>
      <c r="B35" s="248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50"/>
      <c r="Q35" s="10"/>
      <c r="R35" s="10"/>
      <c r="S35" s="10"/>
    </row>
    <row r="36" spans="1:19">
      <c r="A36" s="10"/>
      <c r="B36" s="248"/>
      <c r="C36" s="249"/>
      <c r="D36" s="249"/>
      <c r="E36" s="249"/>
      <c r="F36" s="249"/>
      <c r="G36" s="249"/>
      <c r="H36" s="249"/>
      <c r="I36" s="249"/>
      <c r="J36" s="249"/>
      <c r="K36" s="249"/>
      <c r="L36" s="249"/>
      <c r="M36" s="249"/>
      <c r="N36" s="249"/>
      <c r="O36" s="249"/>
      <c r="P36" s="250"/>
      <c r="Q36" s="10"/>
      <c r="R36" s="10"/>
      <c r="S36" s="10"/>
    </row>
    <row r="37" spans="1:19">
      <c r="A37" s="10"/>
      <c r="B37" s="248"/>
      <c r="C37" s="249"/>
      <c r="D37" s="249"/>
      <c r="E37" s="249"/>
      <c r="F37" s="249"/>
      <c r="G37" s="249"/>
      <c r="H37" s="249"/>
      <c r="I37" s="249"/>
      <c r="J37" s="249"/>
      <c r="K37" s="249"/>
      <c r="L37" s="249"/>
      <c r="M37" s="249"/>
      <c r="N37" s="249"/>
      <c r="O37" s="249"/>
      <c r="P37" s="250"/>
      <c r="Q37" s="10"/>
      <c r="R37" s="10"/>
      <c r="S37" s="10"/>
    </row>
    <row r="38" spans="1:19">
      <c r="A38" s="10"/>
      <c r="B38" s="251"/>
      <c r="C38" s="252"/>
      <c r="D38" s="252"/>
      <c r="E38" s="252"/>
      <c r="F38" s="252"/>
      <c r="G38" s="252"/>
      <c r="H38" s="252"/>
      <c r="I38" s="252"/>
      <c r="J38" s="252"/>
      <c r="K38" s="252"/>
      <c r="L38" s="252"/>
      <c r="M38" s="252"/>
      <c r="N38" s="252"/>
      <c r="O38" s="252"/>
      <c r="P38" s="253"/>
      <c r="Q38" s="10"/>
      <c r="R38" s="10"/>
      <c r="S38" s="10"/>
    </row>
    <row r="39" spans="1:19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</row>
    <row r="40" spans="1:19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</row>
    <row r="41" spans="1:19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</row>
    <row r="42" spans="1:19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</row>
    <row r="43" spans="1:19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</row>
    <row r="44" spans="1:19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</row>
    <row r="45" spans="1:19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</row>
  </sheetData>
  <protectedRanges>
    <protectedRange sqref="B29" name="範囲8"/>
    <protectedRange sqref="M17" name="範囲7"/>
    <protectedRange sqref="I17" name="範囲6"/>
    <protectedRange sqref="E17" name="範囲5"/>
    <protectedRange sqref="M13" name="範囲4"/>
    <protectedRange sqref="E13" name="範囲3"/>
    <protectedRange sqref="E10 O6" name="範囲2"/>
    <protectedRange sqref="D6" name="範囲1"/>
  </protectedRanges>
  <mergeCells count="22">
    <mergeCell ref="B13:D14"/>
    <mergeCell ref="E13:H14"/>
    <mergeCell ref="J13:L14"/>
    <mergeCell ref="M13:P14"/>
    <mergeCell ref="C2:O3"/>
    <mergeCell ref="B6:C7"/>
    <mergeCell ref="D6:K7"/>
    <mergeCell ref="B10:D11"/>
    <mergeCell ref="E10:H11"/>
    <mergeCell ref="N10:N11"/>
    <mergeCell ref="M6:N7"/>
    <mergeCell ref="O6:P7"/>
    <mergeCell ref="O10:O11"/>
    <mergeCell ref="I10:M11"/>
    <mergeCell ref="B27:C28"/>
    <mergeCell ref="B29:P38"/>
    <mergeCell ref="B17:D18"/>
    <mergeCell ref="E17:E18"/>
    <mergeCell ref="G17:H18"/>
    <mergeCell ref="I17:J18"/>
    <mergeCell ref="K17:L18"/>
    <mergeCell ref="M17:O18"/>
  </mergeCells>
  <phoneticPr fontId="1"/>
  <conditionalFormatting sqref="I10:M11">
    <cfRule type="containsText" dxfId="21" priority="3" stopIfTrue="1" operator="containsText" text="(Highest soluble conc. In the next exp.s">
      <formula>NOT(ISERROR(SEARCH("(Highest soluble conc. In the next exp.s",I10)))</formula>
    </cfRule>
    <cfRule type="containsText" dxfId="20" priority="4" stopIfTrue="1" operator="containsText" text="I10">
      <formula>NOT(ISERROR(SEARCH("I10",I10)))</formula>
    </cfRule>
  </conditionalFormatting>
  <conditionalFormatting sqref="N10:N11">
    <cfRule type="cellIs" dxfId="19" priority="2" stopIfTrue="1" operator="equal">
      <formula>$N$10</formula>
    </cfRule>
  </conditionalFormatting>
  <conditionalFormatting sqref="O10:O11">
    <cfRule type="containsText" dxfId="18" priority="1" stopIfTrue="1" operator="containsText" text="mg/ml)">
      <formula>NOT(ISERROR(SEARCH("mg/ml)",O10)))</formula>
    </cfRule>
  </conditionalFormatting>
  <dataValidations count="8">
    <dataValidation type="list" allowBlank="1" showInputMessage="1" showErrorMessage="1" sqref="E17:E18" xr:uid="{00000000-0002-0000-0000-000000000000}">
      <formula1>"LED, 201, 202, 203, 204, 205, 206, 207, 208, 209, 210, 211, 212, 213, 214, 215, CoCl2"</formula1>
    </dataValidation>
    <dataValidation type="list" allowBlank="1" showInputMessage="1" showErrorMessage="1" sqref="D6" xr:uid="{00000000-0002-0000-0000-000001000000}">
      <formula1>"Food and Drug Safety Center, Sumitomo Chemical, National Institute of Advanced Industrial Science and Technology"</formula1>
    </dataValidation>
    <dataValidation type="list" allowBlank="1" showInputMessage="1" showErrorMessage="1" sqref="Q6" xr:uid="{00000000-0002-0000-0000-000002000000}">
      <formula1>"1st exp.,2nd exp.,3rd exp.,4th exp.,Co/LPS"</formula1>
    </dataValidation>
    <dataValidation type="list" allowBlank="1" showInputMessage="1" showErrorMessage="1" sqref="I20:T20 I21" xr:uid="{00000000-0002-0000-0000-000003000000}">
      <formula1>INDIRECT($M$17)</formula1>
    </dataValidation>
    <dataValidation type="list" allowBlank="1" showInputMessage="1" showErrorMessage="1" sqref="M17:O18" xr:uid="{00000000-0002-0000-0000-000004000000}">
      <formula1>$I$21:$I$22</formula1>
    </dataValidation>
    <dataValidation type="list" allowBlank="1" showInputMessage="1" sqref="I17:J18" xr:uid="{00000000-0002-0000-0000-000005000000}">
      <formula1>INDIRECT($M$17)</formula1>
    </dataValidation>
    <dataValidation type="list" allowBlank="1" showInputMessage="1" showErrorMessage="1" sqref="O6:P7" xr:uid="{00000000-0002-0000-0000-000006000000}">
      <formula1>"1st round.,2nd round.,3rd round"</formula1>
    </dataValidation>
    <dataValidation type="list" allowBlank="1" showInputMessage="1" showErrorMessage="1" sqref="E10:H11" xr:uid="{00000000-0002-0000-0000-000007000000}">
      <formula1>"1st exp.,2nd exp.,3rd exp.,4th exp.,CoCl2"</formula1>
    </dataValidation>
  </dataValidations>
  <pageMargins left="0.7" right="0.7" top="0.75" bottom="0.75" header="0.3" footer="0.3"/>
  <pageSetup paperSize="9" scale="67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Q35"/>
  <sheetViews>
    <sheetView showGridLines="0" workbookViewId="0">
      <selection sqref="A1:M26"/>
    </sheetView>
  </sheetViews>
  <sheetFormatPr baseColWidth="10" defaultColWidth="9.19921875" defaultRowHeight="14"/>
  <cols>
    <col min="1" max="7" width="9.19921875" style="5"/>
    <col min="8" max="8" width="8.3984375" style="5" customWidth="1"/>
    <col min="9" max="16384" width="9.19921875" style="5"/>
  </cols>
  <sheetData>
    <row r="1" spans="1:17" customFormat="1" ht="15">
      <c r="A1" s="45" t="s">
        <v>336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spans="1:17" customFormat="1">
      <c r="A2" s="45"/>
      <c r="B2" s="10"/>
      <c r="C2" s="10"/>
      <c r="D2" s="10"/>
      <c r="E2" s="10"/>
      <c r="F2" s="45" t="s">
        <v>100</v>
      </c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customFormat="1" ht="17" thickBot="1">
      <c r="A3" s="45"/>
      <c r="B3" s="10"/>
      <c r="C3" s="10"/>
      <c r="D3" s="10"/>
      <c r="E3" s="10"/>
      <c r="F3" s="46"/>
      <c r="G3" s="47" t="s">
        <v>229</v>
      </c>
      <c r="H3" s="10"/>
      <c r="I3" s="10"/>
      <c r="J3" s="10"/>
      <c r="K3" s="10"/>
      <c r="L3" s="10"/>
      <c r="M3" s="10"/>
      <c r="N3" s="10"/>
      <c r="O3" s="10"/>
      <c r="P3" s="10"/>
      <c r="Q3" s="10"/>
    </row>
    <row r="4" spans="1:17" customFormat="1" ht="17" thickTop="1">
      <c r="A4" s="45" t="s">
        <v>97</v>
      </c>
      <c r="B4" s="10"/>
      <c r="C4" s="10"/>
      <c r="D4" s="10"/>
      <c r="E4" s="10"/>
      <c r="F4" s="43" t="s">
        <v>227</v>
      </c>
      <c r="G4" s="48"/>
      <c r="H4" s="10"/>
      <c r="I4" s="10"/>
      <c r="J4" s="10"/>
      <c r="K4" s="10"/>
      <c r="L4" s="10"/>
      <c r="M4" s="10"/>
      <c r="N4" s="10"/>
      <c r="O4" s="10"/>
      <c r="P4" s="10"/>
      <c r="Q4" s="10"/>
    </row>
    <row r="5" spans="1:17" customFormat="1" ht="17" thickBot="1">
      <c r="A5" s="10"/>
      <c r="B5" s="10"/>
      <c r="C5" s="10"/>
      <c r="D5" s="10"/>
      <c r="E5" s="10"/>
      <c r="F5" s="44" t="s">
        <v>41</v>
      </c>
      <c r="G5" s="49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 customFormat="1" ht="15" thickTop="1">
      <c r="A6" s="3" t="s">
        <v>98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customFormat="1" ht="15" thickBot="1">
      <c r="A7" s="4" t="s">
        <v>21</v>
      </c>
      <c r="B7" s="1">
        <v>1</v>
      </c>
      <c r="C7" s="1">
        <v>2</v>
      </c>
      <c r="D7" s="1">
        <v>3</v>
      </c>
      <c r="E7" s="1">
        <v>4</v>
      </c>
      <c r="F7" s="1">
        <v>5</v>
      </c>
      <c r="G7" s="1">
        <v>6</v>
      </c>
      <c r="H7" s="1">
        <v>7</v>
      </c>
      <c r="I7" s="1">
        <v>8</v>
      </c>
      <c r="J7" s="1">
        <v>9</v>
      </c>
      <c r="K7" s="1">
        <v>10</v>
      </c>
      <c r="L7" s="1">
        <v>11</v>
      </c>
      <c r="M7" s="1">
        <v>12</v>
      </c>
      <c r="N7" s="10"/>
      <c r="O7" s="10"/>
      <c r="P7" s="10"/>
      <c r="Q7" s="10"/>
    </row>
    <row r="8" spans="1:17" customFormat="1" ht="15" thickTop="1">
      <c r="A8" s="4" t="s">
        <v>8</v>
      </c>
      <c r="B8" s="50"/>
      <c r="C8" s="51"/>
      <c r="D8" s="51"/>
      <c r="E8" s="51"/>
      <c r="F8" s="51"/>
      <c r="G8" s="51"/>
      <c r="H8" s="51"/>
      <c r="I8" s="51"/>
      <c r="J8" s="51"/>
      <c r="K8" s="51"/>
      <c r="L8" s="51"/>
      <c r="M8" s="52"/>
      <c r="N8" s="10"/>
      <c r="O8" s="10"/>
      <c r="P8" s="10"/>
      <c r="Q8" s="10"/>
    </row>
    <row r="9" spans="1:17" customFormat="1">
      <c r="A9" s="4" t="s">
        <v>9</v>
      </c>
      <c r="B9" s="53"/>
      <c r="C9" s="54"/>
      <c r="D9" s="54"/>
      <c r="E9" s="54"/>
      <c r="F9" s="54"/>
      <c r="G9" s="54"/>
      <c r="H9" s="54"/>
      <c r="I9" s="54"/>
      <c r="J9" s="54"/>
      <c r="K9" s="54"/>
      <c r="L9" s="54"/>
      <c r="M9" s="55"/>
      <c r="N9" s="10"/>
      <c r="O9" s="10"/>
      <c r="P9" s="10"/>
      <c r="Q9" s="10"/>
    </row>
    <row r="10" spans="1:17" customFormat="1">
      <c r="A10" s="4" t="s">
        <v>10</v>
      </c>
      <c r="B10" s="53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5"/>
      <c r="N10" s="10"/>
      <c r="O10" s="10"/>
      <c r="P10" s="10"/>
      <c r="Q10" s="10"/>
    </row>
    <row r="11" spans="1:17" customFormat="1">
      <c r="A11" s="4" t="s">
        <v>11</v>
      </c>
      <c r="B11" s="53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5"/>
      <c r="N11" s="10"/>
      <c r="O11" s="10"/>
      <c r="P11" s="10"/>
      <c r="Q11" s="10"/>
    </row>
    <row r="12" spans="1:17" customFormat="1">
      <c r="A12" s="4" t="s">
        <v>12</v>
      </c>
      <c r="B12" s="53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5"/>
      <c r="N12" s="10"/>
      <c r="O12" s="10"/>
      <c r="P12" s="10"/>
      <c r="Q12" s="10"/>
    </row>
    <row r="13" spans="1:17" customFormat="1">
      <c r="A13" s="4" t="s">
        <v>13</v>
      </c>
      <c r="B13" s="53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5"/>
      <c r="N13" s="10"/>
      <c r="O13" s="10"/>
      <c r="P13" s="10"/>
      <c r="Q13" s="10"/>
    </row>
    <row r="14" spans="1:17" customFormat="1">
      <c r="A14" s="4" t="s">
        <v>14</v>
      </c>
      <c r="B14" s="53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5"/>
      <c r="N14" s="10"/>
      <c r="O14" s="10"/>
      <c r="P14" s="10"/>
      <c r="Q14" s="10"/>
    </row>
    <row r="15" spans="1:17" customFormat="1" ht="15" thickBot="1">
      <c r="A15" s="4" t="s">
        <v>15</v>
      </c>
      <c r="B15" s="56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8"/>
      <c r="N15" s="10"/>
      <c r="O15" s="10"/>
      <c r="P15" s="10"/>
      <c r="Q15" s="10"/>
    </row>
    <row r="16" spans="1:17" customFormat="1" ht="15" thickTop="1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</row>
    <row r="17" spans="1:17" customFormat="1">
      <c r="A17" s="3" t="s">
        <v>228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</row>
    <row r="18" spans="1:17" customFormat="1" ht="15" thickBot="1">
      <c r="A18" s="4" t="s">
        <v>230</v>
      </c>
      <c r="B18" s="1">
        <v>1</v>
      </c>
      <c r="C18" s="1">
        <v>2</v>
      </c>
      <c r="D18" s="1">
        <v>3</v>
      </c>
      <c r="E18" s="1">
        <v>4</v>
      </c>
      <c r="F18" s="1">
        <v>5</v>
      </c>
      <c r="G18" s="1">
        <v>6</v>
      </c>
      <c r="H18" s="1">
        <v>7</v>
      </c>
      <c r="I18" s="1">
        <v>8</v>
      </c>
      <c r="J18" s="1">
        <v>9</v>
      </c>
      <c r="K18" s="1">
        <v>10</v>
      </c>
      <c r="L18" s="1">
        <v>11</v>
      </c>
      <c r="M18" s="1">
        <v>12</v>
      </c>
      <c r="N18" s="10"/>
      <c r="O18" s="10"/>
      <c r="P18" s="10"/>
      <c r="Q18" s="10"/>
    </row>
    <row r="19" spans="1:17" customFormat="1">
      <c r="A19" s="4" t="s">
        <v>0</v>
      </c>
      <c r="B19" s="59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1"/>
      <c r="N19" s="10"/>
      <c r="O19" s="10"/>
      <c r="P19" s="10"/>
      <c r="Q19" s="10"/>
    </row>
    <row r="20" spans="1:17" customFormat="1">
      <c r="A20" s="4" t="s">
        <v>1</v>
      </c>
      <c r="B20" s="62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4"/>
      <c r="N20" s="10"/>
      <c r="O20" s="10"/>
      <c r="P20" s="10"/>
      <c r="Q20" s="10"/>
    </row>
    <row r="21" spans="1:17" customFormat="1">
      <c r="A21" s="4" t="s">
        <v>2</v>
      </c>
      <c r="B21" s="62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4"/>
      <c r="N21" s="10"/>
      <c r="O21" s="10"/>
      <c r="P21" s="10"/>
      <c r="Q21" s="10"/>
    </row>
    <row r="22" spans="1:17" customFormat="1">
      <c r="A22" s="4" t="s">
        <v>3</v>
      </c>
      <c r="B22" s="62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4"/>
      <c r="N22" s="10"/>
      <c r="O22" s="10"/>
      <c r="P22" s="10"/>
      <c r="Q22" s="10"/>
    </row>
    <row r="23" spans="1:17" customFormat="1">
      <c r="A23" s="4" t="s">
        <v>4</v>
      </c>
      <c r="B23" s="62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4"/>
      <c r="N23" s="10"/>
      <c r="O23" s="10"/>
      <c r="P23" s="10"/>
      <c r="Q23" s="10"/>
    </row>
    <row r="24" spans="1:17" customFormat="1">
      <c r="A24" s="4" t="s">
        <v>5</v>
      </c>
      <c r="B24" s="62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4"/>
      <c r="N24" s="10"/>
      <c r="O24" s="10"/>
      <c r="P24" s="10"/>
      <c r="Q24" s="10"/>
    </row>
    <row r="25" spans="1:17" customFormat="1">
      <c r="A25" s="4" t="s">
        <v>6</v>
      </c>
      <c r="B25" s="62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4"/>
      <c r="N25" s="10"/>
      <c r="O25" s="10"/>
      <c r="P25" s="10"/>
      <c r="Q25" s="10"/>
    </row>
    <row r="26" spans="1:17" customFormat="1" ht="15" thickBot="1">
      <c r="A26" s="4" t="s">
        <v>7</v>
      </c>
      <c r="B26" s="65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7"/>
      <c r="N26" s="10"/>
      <c r="O26" s="10"/>
      <c r="P26" s="10"/>
      <c r="Q26" s="10"/>
    </row>
    <row r="27" spans="1:17" customFormat="1">
      <c r="A27" s="1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</row>
    <row r="28" spans="1:17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</row>
    <row r="29" spans="1:17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</row>
    <row r="30" spans="1:17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</row>
    <row r="31" spans="1:17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</row>
    <row r="32" spans="1:17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</row>
    <row r="33" spans="1:17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</row>
    <row r="34" spans="1:17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1:17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</row>
  </sheetData>
  <protectedRanges>
    <protectedRange sqref="G4:G5" name="範囲3"/>
    <protectedRange sqref="B19:M26" name="範囲2"/>
    <protectedRange sqref="B8:M15" name="範囲1"/>
  </protectedRanges>
  <phoneticPr fontId="1"/>
  <pageMargins left="0.75" right="0.75" top="1" bottom="1" header="0.51200000000000001" footer="0.51200000000000001"/>
  <pageSetup paperSize="9" scale="48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148"/>
  <sheetViews>
    <sheetView showGridLines="0" topLeftCell="A67" workbookViewId="0">
      <selection sqref="A1:P132"/>
    </sheetView>
  </sheetViews>
  <sheetFormatPr baseColWidth="10" defaultColWidth="9.19921875" defaultRowHeight="14"/>
  <cols>
    <col min="1" max="1" width="17.19921875" style="6" customWidth="1"/>
    <col min="2" max="2" width="10.59765625" style="5" bestFit="1" customWidth="1"/>
    <col min="3" max="12" width="17.3984375" style="5" bestFit="1" customWidth="1"/>
    <col min="13" max="13" width="14.59765625" style="5" bestFit="1" customWidth="1"/>
    <col min="14" max="14" width="16.796875" style="5" bestFit="1" customWidth="1"/>
    <col min="15" max="16" width="9.3984375" style="5" bestFit="1" customWidth="1"/>
    <col min="17" max="16384" width="9.19921875" style="5"/>
  </cols>
  <sheetData>
    <row r="1" spans="1:19" customFormat="1" ht="15">
      <c r="A1" s="45" t="s">
        <v>336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22">
        <f>25/2^0</f>
        <v>25</v>
      </c>
      <c r="P1" s="10"/>
      <c r="Q1" s="10"/>
      <c r="R1" s="10"/>
      <c r="S1" s="10"/>
    </row>
    <row r="2" spans="1:19" customFormat="1">
      <c r="A2" s="45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22">
        <f>25/2^1</f>
        <v>12.5</v>
      </c>
      <c r="P2" s="10"/>
      <c r="Q2" s="10"/>
      <c r="R2" s="10"/>
      <c r="S2" s="10"/>
    </row>
    <row r="3" spans="1:19" customFormat="1">
      <c r="A3" s="45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22">
        <f>25/2^2</f>
        <v>6.25</v>
      </c>
      <c r="P3" s="10"/>
      <c r="Q3" s="10"/>
      <c r="R3" s="10"/>
      <c r="S3" s="10"/>
    </row>
    <row r="4" spans="1:19" customFormat="1">
      <c r="A4" s="45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22">
        <f>25/2^3</f>
        <v>3.125</v>
      </c>
      <c r="P4" s="10"/>
      <c r="Q4" s="10"/>
      <c r="R4" s="10"/>
      <c r="S4" s="10"/>
    </row>
    <row r="5" spans="1:19" customFormat="1">
      <c r="A5" s="3" t="s">
        <v>22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22">
        <f>25/2^4</f>
        <v>1.5625</v>
      </c>
      <c r="P5" s="10"/>
      <c r="Q5" s="10"/>
      <c r="R5" s="10"/>
      <c r="S5" s="10"/>
    </row>
    <row r="6" spans="1:19" customFormat="1" ht="15" thickBot="1">
      <c r="A6" s="4" t="s">
        <v>21</v>
      </c>
      <c r="B6" s="1">
        <v>1</v>
      </c>
      <c r="C6" s="1">
        <v>2</v>
      </c>
      <c r="D6" s="1">
        <v>3</v>
      </c>
      <c r="E6" s="1">
        <v>4</v>
      </c>
      <c r="F6" s="1">
        <v>5</v>
      </c>
      <c r="G6" s="1">
        <v>6</v>
      </c>
      <c r="H6" s="1">
        <v>7</v>
      </c>
      <c r="I6" s="1">
        <v>8</v>
      </c>
      <c r="J6" s="1">
        <v>9</v>
      </c>
      <c r="K6" s="1">
        <v>10</v>
      </c>
      <c r="L6" s="1">
        <v>11</v>
      </c>
      <c r="M6" s="1">
        <v>12</v>
      </c>
      <c r="N6" s="10"/>
      <c r="O6" s="22">
        <f>25/2^5</f>
        <v>0.78125</v>
      </c>
      <c r="P6" s="10"/>
      <c r="Q6" s="10"/>
      <c r="R6" s="10"/>
      <c r="S6" s="10"/>
    </row>
    <row r="7" spans="1:19" customFormat="1" ht="15" thickTop="1">
      <c r="A7" s="4" t="s">
        <v>8</v>
      </c>
      <c r="B7" s="50">
        <f t="array" ref="B7:M14">'Data Input'!B8:M15</f>
        <v>0</v>
      </c>
      <c r="C7" s="51">
        <v>0</v>
      </c>
      <c r="D7" s="51">
        <v>0</v>
      </c>
      <c r="E7" s="51">
        <v>0</v>
      </c>
      <c r="F7" s="51">
        <v>0</v>
      </c>
      <c r="G7" s="51">
        <v>0</v>
      </c>
      <c r="H7" s="51">
        <v>0</v>
      </c>
      <c r="I7" s="51">
        <v>0</v>
      </c>
      <c r="J7" s="51">
        <v>0</v>
      </c>
      <c r="K7" s="51">
        <v>0</v>
      </c>
      <c r="L7" s="51">
        <v>0</v>
      </c>
      <c r="M7" s="52">
        <v>0</v>
      </c>
      <c r="N7" s="10"/>
      <c r="O7" s="22">
        <f>25/2^6</f>
        <v>0.390625</v>
      </c>
      <c r="P7" s="10"/>
      <c r="Q7" s="10"/>
      <c r="R7" s="10"/>
      <c r="S7" s="10"/>
    </row>
    <row r="8" spans="1:19" customFormat="1">
      <c r="A8" s="4" t="s">
        <v>9</v>
      </c>
      <c r="B8" s="53">
        <v>0</v>
      </c>
      <c r="C8" s="54">
        <v>0</v>
      </c>
      <c r="D8" s="54">
        <v>0</v>
      </c>
      <c r="E8" s="54">
        <v>0</v>
      </c>
      <c r="F8" s="54">
        <v>0</v>
      </c>
      <c r="G8" s="54">
        <v>0</v>
      </c>
      <c r="H8" s="54">
        <v>0</v>
      </c>
      <c r="I8" s="54">
        <v>0</v>
      </c>
      <c r="J8" s="54">
        <v>0</v>
      </c>
      <c r="K8" s="54">
        <v>0</v>
      </c>
      <c r="L8" s="54">
        <v>0</v>
      </c>
      <c r="M8" s="55">
        <v>0</v>
      </c>
      <c r="N8" s="10"/>
      <c r="O8" s="22">
        <f>25/2^7</f>
        <v>0.1953125</v>
      </c>
      <c r="P8" s="10"/>
      <c r="Q8" s="10"/>
      <c r="R8" s="10"/>
      <c r="S8" s="10"/>
    </row>
    <row r="9" spans="1:19" customFormat="1">
      <c r="A9" s="4" t="s">
        <v>10</v>
      </c>
      <c r="B9" s="53">
        <v>0</v>
      </c>
      <c r="C9" s="54">
        <v>0</v>
      </c>
      <c r="D9" s="54">
        <v>0</v>
      </c>
      <c r="E9" s="54">
        <v>0</v>
      </c>
      <c r="F9" s="54">
        <v>0</v>
      </c>
      <c r="G9" s="54">
        <v>0</v>
      </c>
      <c r="H9" s="54">
        <v>0</v>
      </c>
      <c r="I9" s="54">
        <v>0</v>
      </c>
      <c r="J9" s="54">
        <v>0</v>
      </c>
      <c r="K9" s="54">
        <v>0</v>
      </c>
      <c r="L9" s="54">
        <v>0</v>
      </c>
      <c r="M9" s="55">
        <v>0</v>
      </c>
      <c r="N9" s="10"/>
      <c r="O9" s="22">
        <f>25/2^8</f>
        <v>9.765625E-2</v>
      </c>
      <c r="P9" s="10"/>
      <c r="Q9" s="10"/>
      <c r="R9" s="10"/>
      <c r="S9" s="10"/>
    </row>
    <row r="10" spans="1:19" customFormat="1">
      <c r="A10" s="4" t="s">
        <v>11</v>
      </c>
      <c r="B10" s="53">
        <v>0</v>
      </c>
      <c r="C10" s="54">
        <v>0</v>
      </c>
      <c r="D10" s="54">
        <v>0</v>
      </c>
      <c r="E10" s="54">
        <v>0</v>
      </c>
      <c r="F10" s="54">
        <v>0</v>
      </c>
      <c r="G10" s="54">
        <v>0</v>
      </c>
      <c r="H10" s="54">
        <v>0</v>
      </c>
      <c r="I10" s="54">
        <v>0</v>
      </c>
      <c r="J10" s="54">
        <v>0</v>
      </c>
      <c r="K10" s="54">
        <v>0</v>
      </c>
      <c r="L10" s="54">
        <v>0</v>
      </c>
      <c r="M10" s="55">
        <v>0</v>
      </c>
      <c r="N10" s="10"/>
      <c r="O10" s="22">
        <f>25/2^9</f>
        <v>4.8828125E-2</v>
      </c>
      <c r="P10" s="10"/>
      <c r="Q10" s="10"/>
      <c r="R10" s="10"/>
      <c r="S10" s="10"/>
    </row>
    <row r="11" spans="1:19" customFormat="1">
      <c r="A11" s="4" t="s">
        <v>12</v>
      </c>
      <c r="B11" s="53">
        <v>0</v>
      </c>
      <c r="C11" s="54">
        <v>0</v>
      </c>
      <c r="D11" s="54">
        <v>0</v>
      </c>
      <c r="E11" s="54">
        <v>0</v>
      </c>
      <c r="F11" s="54">
        <v>0</v>
      </c>
      <c r="G11" s="54">
        <v>0</v>
      </c>
      <c r="H11" s="54">
        <v>0</v>
      </c>
      <c r="I11" s="54">
        <v>0</v>
      </c>
      <c r="J11" s="54">
        <v>0</v>
      </c>
      <c r="K11" s="54">
        <v>0</v>
      </c>
      <c r="L11" s="54">
        <v>0</v>
      </c>
      <c r="M11" s="55">
        <v>0</v>
      </c>
      <c r="N11" s="10"/>
      <c r="O11" s="22">
        <f>25/2^10</f>
        <v>2.44140625E-2</v>
      </c>
      <c r="P11" s="10"/>
      <c r="Q11" s="10"/>
      <c r="R11" s="10"/>
      <c r="S11" s="10"/>
    </row>
    <row r="12" spans="1:19" customFormat="1">
      <c r="A12" s="4" t="s">
        <v>13</v>
      </c>
      <c r="B12" s="53">
        <v>0</v>
      </c>
      <c r="C12" s="54">
        <v>0</v>
      </c>
      <c r="D12" s="54">
        <v>0</v>
      </c>
      <c r="E12" s="54">
        <v>0</v>
      </c>
      <c r="F12" s="54">
        <v>0</v>
      </c>
      <c r="G12" s="54">
        <v>0</v>
      </c>
      <c r="H12" s="54">
        <v>0</v>
      </c>
      <c r="I12" s="54">
        <v>0</v>
      </c>
      <c r="J12" s="54">
        <v>0</v>
      </c>
      <c r="K12" s="54">
        <v>0</v>
      </c>
      <c r="L12" s="54">
        <v>0</v>
      </c>
      <c r="M12" s="55">
        <v>0</v>
      </c>
      <c r="N12" s="10"/>
      <c r="O12" s="22">
        <f>500/2^0</f>
        <v>500</v>
      </c>
      <c r="P12" s="10"/>
      <c r="Q12" s="10"/>
      <c r="R12" s="10"/>
      <c r="S12" s="10"/>
    </row>
    <row r="13" spans="1:19" customFormat="1">
      <c r="A13" s="4" t="s">
        <v>14</v>
      </c>
      <c r="B13" s="53">
        <v>0</v>
      </c>
      <c r="C13" s="54">
        <v>0</v>
      </c>
      <c r="D13" s="54">
        <v>0</v>
      </c>
      <c r="E13" s="54">
        <v>0</v>
      </c>
      <c r="F13" s="54">
        <v>0</v>
      </c>
      <c r="G13" s="54">
        <v>0</v>
      </c>
      <c r="H13" s="54">
        <v>0</v>
      </c>
      <c r="I13" s="54">
        <v>0</v>
      </c>
      <c r="J13" s="54">
        <v>0</v>
      </c>
      <c r="K13" s="54">
        <v>0</v>
      </c>
      <c r="L13" s="54">
        <v>0</v>
      </c>
      <c r="M13" s="55">
        <v>0</v>
      </c>
      <c r="N13" s="10"/>
      <c r="O13" s="22">
        <f>500/2^1</f>
        <v>250</v>
      </c>
      <c r="P13" s="10"/>
      <c r="Q13" s="10"/>
      <c r="R13" s="10"/>
      <c r="S13" s="10"/>
    </row>
    <row r="14" spans="1:19" customFormat="1" ht="15" thickBot="1">
      <c r="A14" s="4" t="s">
        <v>15</v>
      </c>
      <c r="B14" s="56">
        <v>0</v>
      </c>
      <c r="C14" s="57">
        <v>0</v>
      </c>
      <c r="D14" s="57">
        <v>0</v>
      </c>
      <c r="E14" s="57">
        <v>0</v>
      </c>
      <c r="F14" s="57">
        <v>0</v>
      </c>
      <c r="G14" s="57">
        <v>0</v>
      </c>
      <c r="H14" s="57">
        <v>0</v>
      </c>
      <c r="I14" s="57">
        <v>0</v>
      </c>
      <c r="J14" s="57">
        <v>0</v>
      </c>
      <c r="K14" s="57">
        <v>0</v>
      </c>
      <c r="L14" s="57">
        <v>0</v>
      </c>
      <c r="M14" s="58">
        <v>0</v>
      </c>
      <c r="N14" s="10"/>
      <c r="O14" s="22">
        <f>500/2^2</f>
        <v>125</v>
      </c>
      <c r="P14" s="10"/>
      <c r="Q14" s="10"/>
      <c r="R14" s="10"/>
      <c r="S14" s="10"/>
    </row>
    <row r="15" spans="1:19" customFormat="1" ht="15" thickTop="1">
      <c r="A15" s="4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22">
        <f>500/2^3</f>
        <v>62.5</v>
      </c>
      <c r="P15" s="10"/>
      <c r="Q15" s="10"/>
      <c r="R15" s="10"/>
      <c r="S15" s="10"/>
    </row>
    <row r="16" spans="1:19" customFormat="1">
      <c r="A16" s="3" t="s">
        <v>231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22">
        <f>500/2^4</f>
        <v>31.25</v>
      </c>
      <c r="P16" s="10"/>
      <c r="Q16" s="10"/>
      <c r="R16" s="10"/>
      <c r="S16" s="10"/>
    </row>
    <row r="17" spans="1:19" customFormat="1" ht="15" thickBot="1">
      <c r="A17" s="4" t="s">
        <v>233</v>
      </c>
      <c r="B17" s="1">
        <v>1</v>
      </c>
      <c r="C17" s="1">
        <v>2</v>
      </c>
      <c r="D17" s="1">
        <v>3</v>
      </c>
      <c r="E17" s="1">
        <v>4</v>
      </c>
      <c r="F17" s="1">
        <v>5</v>
      </c>
      <c r="G17" s="1">
        <v>6</v>
      </c>
      <c r="H17" s="1">
        <v>7</v>
      </c>
      <c r="I17" s="1">
        <v>8</v>
      </c>
      <c r="J17" s="1">
        <v>9</v>
      </c>
      <c r="K17" s="1">
        <v>10</v>
      </c>
      <c r="L17" s="1">
        <v>11</v>
      </c>
      <c r="M17" s="1">
        <v>12</v>
      </c>
      <c r="N17" s="10"/>
      <c r="O17" s="22">
        <f>500/2^5</f>
        <v>15.625</v>
      </c>
      <c r="P17" s="10"/>
      <c r="Q17" s="10"/>
      <c r="R17" s="10"/>
      <c r="S17" s="10"/>
    </row>
    <row r="18" spans="1:19" customFormat="1">
      <c r="A18" s="4" t="s">
        <v>0</v>
      </c>
      <c r="B18" s="59">
        <f t="array" ref="B18:M25">'Data Input'!B19:M26</f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  <c r="H18" s="60">
        <v>0</v>
      </c>
      <c r="I18" s="60">
        <v>0</v>
      </c>
      <c r="J18" s="60">
        <v>0</v>
      </c>
      <c r="K18" s="60">
        <v>0</v>
      </c>
      <c r="L18" s="60">
        <v>0</v>
      </c>
      <c r="M18" s="61">
        <v>0</v>
      </c>
      <c r="N18" s="10"/>
      <c r="O18" s="22">
        <f>500/2^6</f>
        <v>7.8125</v>
      </c>
      <c r="P18" s="10"/>
      <c r="Q18" s="10"/>
      <c r="R18" s="10"/>
      <c r="S18" s="10"/>
    </row>
    <row r="19" spans="1:19" customFormat="1">
      <c r="A19" s="4" t="s">
        <v>1</v>
      </c>
      <c r="B19" s="62">
        <v>0</v>
      </c>
      <c r="C19" s="63">
        <v>0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4">
        <v>0</v>
      </c>
      <c r="N19" s="10"/>
      <c r="O19" s="22">
        <f>500/2^7</f>
        <v>3.90625</v>
      </c>
      <c r="P19" s="10"/>
      <c r="Q19" s="10"/>
      <c r="R19" s="10"/>
      <c r="S19" s="10"/>
    </row>
    <row r="20" spans="1:19" customFormat="1">
      <c r="A20" s="4" t="s">
        <v>2</v>
      </c>
      <c r="B20" s="62">
        <v>0</v>
      </c>
      <c r="C20" s="63">
        <v>0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4">
        <v>0</v>
      </c>
      <c r="N20" s="10"/>
      <c r="O20" s="22">
        <f>500/2^8</f>
        <v>1.953125</v>
      </c>
      <c r="P20" s="10"/>
      <c r="Q20" s="10"/>
      <c r="R20" s="10"/>
      <c r="S20" s="10"/>
    </row>
    <row r="21" spans="1:19" customFormat="1">
      <c r="A21" s="4" t="s">
        <v>3</v>
      </c>
      <c r="B21" s="62">
        <v>0</v>
      </c>
      <c r="C21" s="63">
        <v>0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0</v>
      </c>
      <c r="M21" s="64">
        <v>0</v>
      </c>
      <c r="N21" s="10"/>
      <c r="O21" s="22">
        <f>500/2^9</f>
        <v>0.9765625</v>
      </c>
      <c r="P21" s="10"/>
      <c r="Q21" s="10"/>
      <c r="R21" s="10"/>
      <c r="S21" s="10"/>
    </row>
    <row r="22" spans="1:19" customFormat="1">
      <c r="A22" s="4" t="s">
        <v>4</v>
      </c>
      <c r="B22" s="62">
        <v>0</v>
      </c>
      <c r="C22" s="63">
        <v>0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4">
        <v>0</v>
      </c>
      <c r="N22" s="10"/>
      <c r="O22" s="22">
        <f>500/2^10</f>
        <v>0.48828125</v>
      </c>
      <c r="P22" s="10"/>
      <c r="Q22" s="10"/>
      <c r="R22" s="10"/>
      <c r="S22" s="10"/>
    </row>
    <row r="23" spans="1:19" customFormat="1">
      <c r="A23" s="4" t="s">
        <v>5</v>
      </c>
      <c r="B23" s="62">
        <v>0</v>
      </c>
      <c r="C23" s="63">
        <v>0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0</v>
      </c>
      <c r="M23" s="64">
        <v>0</v>
      </c>
      <c r="N23" s="10"/>
      <c r="O23" s="22">
        <f>500/2^11</f>
        <v>0.244140625</v>
      </c>
      <c r="P23" s="10"/>
      <c r="Q23" s="10"/>
      <c r="R23" s="10"/>
      <c r="S23" s="10"/>
    </row>
    <row r="24" spans="1:19" customFormat="1">
      <c r="A24" s="4" t="s">
        <v>6</v>
      </c>
      <c r="B24" s="62">
        <v>0</v>
      </c>
      <c r="C24" s="63">
        <v>0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0</v>
      </c>
      <c r="M24" s="64">
        <v>0</v>
      </c>
      <c r="N24" s="10"/>
      <c r="O24" s="22">
        <f>500/2^12</f>
        <v>0.1220703125</v>
      </c>
      <c r="P24" s="10"/>
      <c r="Q24" s="10"/>
      <c r="R24" s="10"/>
      <c r="S24" s="10"/>
    </row>
    <row r="25" spans="1:19" customFormat="1" ht="15" thickBot="1">
      <c r="A25" s="4" t="s">
        <v>7</v>
      </c>
      <c r="B25" s="65">
        <v>0</v>
      </c>
      <c r="C25" s="66">
        <v>0</v>
      </c>
      <c r="D25" s="66">
        <v>0</v>
      </c>
      <c r="E25" s="66">
        <v>0</v>
      </c>
      <c r="F25" s="66">
        <v>0</v>
      </c>
      <c r="G25" s="66">
        <v>0</v>
      </c>
      <c r="H25" s="66">
        <v>0</v>
      </c>
      <c r="I25" s="66">
        <v>0</v>
      </c>
      <c r="J25" s="66">
        <v>0</v>
      </c>
      <c r="K25" s="66">
        <v>0</v>
      </c>
      <c r="L25" s="66">
        <v>0</v>
      </c>
      <c r="M25" s="67">
        <v>0</v>
      </c>
      <c r="N25" s="10"/>
      <c r="O25" s="22">
        <f>500/2^13</f>
        <v>6.103515625E-2</v>
      </c>
      <c r="P25" s="10"/>
      <c r="Q25" s="10"/>
      <c r="R25" s="10"/>
      <c r="S25" s="10"/>
    </row>
    <row r="26" spans="1:19" customFormat="1">
      <c r="A26" s="1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22">
        <f>500/2^14</f>
        <v>3.0517578125E-2</v>
      </c>
      <c r="P26" s="10"/>
      <c r="Q26" s="10"/>
      <c r="R26" s="10"/>
      <c r="S26" s="10"/>
    </row>
    <row r="27" spans="1:19" ht="16" thickBot="1">
      <c r="A27" s="45" t="s">
        <v>336</v>
      </c>
      <c r="B27" s="10"/>
      <c r="C27" s="10"/>
      <c r="D27" s="10"/>
      <c r="E27" s="10"/>
      <c r="F27" s="10"/>
      <c r="G27" s="10"/>
      <c r="H27" s="10"/>
      <c r="I27" s="2" t="s">
        <v>21</v>
      </c>
      <c r="J27" s="2" t="s">
        <v>232</v>
      </c>
      <c r="K27" s="10"/>
      <c r="L27" s="10" t="s">
        <v>96</v>
      </c>
      <c r="M27" s="10"/>
      <c r="N27" s="10"/>
      <c r="O27" s="22">
        <f>500/2^15</f>
        <v>1.52587890625E-2</v>
      </c>
      <c r="P27" s="10"/>
      <c r="Q27" s="10"/>
      <c r="R27" s="10"/>
      <c r="S27" s="10"/>
    </row>
    <row r="28" spans="1:19">
      <c r="A28" s="45"/>
      <c r="B28" s="10"/>
      <c r="C28" s="10"/>
      <c r="D28" s="10"/>
      <c r="E28" s="10"/>
      <c r="F28" s="10"/>
      <c r="G28" s="10"/>
      <c r="H28" s="8" t="s">
        <v>20</v>
      </c>
      <c r="I28" s="68">
        <v>1</v>
      </c>
      <c r="J28" s="69">
        <f>'Data Input'!G4</f>
        <v>0</v>
      </c>
      <c r="K28" s="10"/>
      <c r="L28" s="68" t="e">
        <f t="array" ref="L28:M29">MINVERSE(I28:J29)</f>
        <v>#NUM!</v>
      </c>
      <c r="M28" s="69" t="e">
        <v>#NUM!</v>
      </c>
      <c r="N28" s="10"/>
      <c r="O28" s="22">
        <f>500/2^16</f>
        <v>7.62939453125E-3</v>
      </c>
      <c r="P28" s="10"/>
      <c r="Q28" s="10"/>
      <c r="R28" s="10"/>
      <c r="S28" s="10"/>
    </row>
    <row r="29" spans="1:19" ht="15" thickBot="1">
      <c r="A29" s="45"/>
      <c r="B29" s="3" t="s">
        <v>17</v>
      </c>
      <c r="C29" s="10"/>
      <c r="D29" s="10"/>
      <c r="E29" s="10"/>
      <c r="F29" s="10"/>
      <c r="G29" s="10"/>
      <c r="H29" s="9" t="s">
        <v>19</v>
      </c>
      <c r="I29" s="70">
        <v>1</v>
      </c>
      <c r="J29" s="71">
        <f>'Data Input'!G5</f>
        <v>0</v>
      </c>
      <c r="K29" s="10"/>
      <c r="L29" s="70" t="e">
        <v>#NUM!</v>
      </c>
      <c r="M29" s="71" t="e">
        <v>#NUM!</v>
      </c>
      <c r="N29" s="10"/>
      <c r="O29" s="22">
        <f>500/2^17</f>
        <v>3.814697265625E-3</v>
      </c>
      <c r="P29" s="10"/>
      <c r="Q29" s="10"/>
      <c r="R29" s="10"/>
      <c r="S29" s="10"/>
    </row>
    <row r="30" spans="1:19">
      <c r="A30" s="45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22">
        <f>500/2^18</f>
        <v>1.9073486328125E-3</v>
      </c>
      <c r="P30" s="10"/>
      <c r="Q30" s="10"/>
      <c r="R30" s="10"/>
      <c r="S30" s="10"/>
    </row>
    <row r="31" spans="1:19">
      <c r="A31" s="45"/>
      <c r="B31" s="72" t="s">
        <v>319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22">
        <f>500/2^19</f>
        <v>9.5367431640625E-4</v>
      </c>
      <c r="P31" s="10"/>
      <c r="Q31" s="10"/>
      <c r="R31" s="10"/>
      <c r="S31" s="10"/>
    </row>
    <row r="32" spans="1:19" s="7" customFormat="1" ht="15" thickBot="1">
      <c r="A32" s="73"/>
      <c r="B32" s="74">
        <v>1</v>
      </c>
      <c r="C32" s="74">
        <v>2</v>
      </c>
      <c r="D32" s="74">
        <v>3</v>
      </c>
      <c r="E32" s="74">
        <v>4</v>
      </c>
      <c r="F32" s="74">
        <v>5</v>
      </c>
      <c r="G32" s="74">
        <v>6</v>
      </c>
      <c r="H32" s="74">
        <v>7</v>
      </c>
      <c r="I32" s="74">
        <v>8</v>
      </c>
      <c r="J32" s="74">
        <v>9</v>
      </c>
      <c r="K32" s="74">
        <v>10</v>
      </c>
      <c r="L32" s="74">
        <v>11</v>
      </c>
      <c r="M32" s="74">
        <v>12</v>
      </c>
      <c r="N32" s="73"/>
      <c r="O32" s="22">
        <f>500/2^20</f>
        <v>4.76837158203125E-4</v>
      </c>
      <c r="P32" s="73"/>
      <c r="Q32" s="73"/>
      <c r="R32" s="73"/>
      <c r="S32" s="73"/>
    </row>
    <row r="33" spans="1:19" ht="15" thickTop="1">
      <c r="A33" s="75" t="s">
        <v>8</v>
      </c>
      <c r="B33" s="76" t="e">
        <f>B7*$L$28+B18*$L$29</f>
        <v>#NUM!</v>
      </c>
      <c r="C33" s="77" t="e">
        <f t="shared" ref="C33:M33" si="0">C7*$L$28+C18*$L$29</f>
        <v>#NUM!</v>
      </c>
      <c r="D33" s="77" t="e">
        <f t="shared" si="0"/>
        <v>#NUM!</v>
      </c>
      <c r="E33" s="77" t="e">
        <f t="shared" si="0"/>
        <v>#NUM!</v>
      </c>
      <c r="F33" s="77" t="e">
        <f t="shared" si="0"/>
        <v>#NUM!</v>
      </c>
      <c r="G33" s="77" t="e">
        <f t="shared" si="0"/>
        <v>#NUM!</v>
      </c>
      <c r="H33" s="77" t="e">
        <f t="shared" si="0"/>
        <v>#NUM!</v>
      </c>
      <c r="I33" s="77" t="e">
        <f t="shared" si="0"/>
        <v>#NUM!</v>
      </c>
      <c r="J33" s="77" t="e">
        <f t="shared" si="0"/>
        <v>#NUM!</v>
      </c>
      <c r="K33" s="77" t="e">
        <f t="shared" si="0"/>
        <v>#NUM!</v>
      </c>
      <c r="L33" s="77" t="e">
        <f t="shared" si="0"/>
        <v>#NUM!</v>
      </c>
      <c r="M33" s="78" t="e">
        <f t="shared" si="0"/>
        <v>#NUM!</v>
      </c>
      <c r="N33" s="10"/>
      <c r="O33" s="10"/>
      <c r="P33" s="10"/>
      <c r="Q33" s="10"/>
      <c r="R33" s="10"/>
      <c r="S33" s="10"/>
    </row>
    <row r="34" spans="1:19">
      <c r="A34" s="75" t="s">
        <v>9</v>
      </c>
      <c r="B34" s="79" t="e">
        <f t="shared" ref="B34:B40" si="1">B8*$L$28+B19*$L$29</f>
        <v>#NUM!</v>
      </c>
      <c r="C34" s="80" t="e">
        <f t="shared" ref="C34:M34" si="2">C8*$L$28+C19*$L$29</f>
        <v>#NUM!</v>
      </c>
      <c r="D34" s="80" t="e">
        <f t="shared" si="2"/>
        <v>#NUM!</v>
      </c>
      <c r="E34" s="80" t="e">
        <f t="shared" si="2"/>
        <v>#NUM!</v>
      </c>
      <c r="F34" s="80" t="e">
        <f t="shared" si="2"/>
        <v>#NUM!</v>
      </c>
      <c r="G34" s="80" t="e">
        <f t="shared" si="2"/>
        <v>#NUM!</v>
      </c>
      <c r="H34" s="80" t="e">
        <f t="shared" si="2"/>
        <v>#NUM!</v>
      </c>
      <c r="I34" s="80" t="e">
        <f t="shared" si="2"/>
        <v>#NUM!</v>
      </c>
      <c r="J34" s="80" t="e">
        <f t="shared" si="2"/>
        <v>#NUM!</v>
      </c>
      <c r="K34" s="80" t="e">
        <f t="shared" si="2"/>
        <v>#NUM!</v>
      </c>
      <c r="L34" s="80" t="e">
        <f t="shared" si="2"/>
        <v>#NUM!</v>
      </c>
      <c r="M34" s="81" t="e">
        <f t="shared" si="2"/>
        <v>#NUM!</v>
      </c>
      <c r="N34" s="10"/>
      <c r="O34" s="10"/>
      <c r="P34" s="82"/>
      <c r="Q34" s="10"/>
      <c r="R34" s="10"/>
      <c r="S34" s="10"/>
    </row>
    <row r="35" spans="1:19">
      <c r="A35" s="75" t="s">
        <v>10</v>
      </c>
      <c r="B35" s="79" t="e">
        <f t="shared" si="1"/>
        <v>#NUM!</v>
      </c>
      <c r="C35" s="80" t="e">
        <f t="shared" ref="C35:M35" si="3">C9*$L$28+C20*$L$29</f>
        <v>#NUM!</v>
      </c>
      <c r="D35" s="80" t="e">
        <f t="shared" si="3"/>
        <v>#NUM!</v>
      </c>
      <c r="E35" s="80" t="e">
        <f t="shared" si="3"/>
        <v>#NUM!</v>
      </c>
      <c r="F35" s="80" t="e">
        <f t="shared" si="3"/>
        <v>#NUM!</v>
      </c>
      <c r="G35" s="80" t="e">
        <f t="shared" si="3"/>
        <v>#NUM!</v>
      </c>
      <c r="H35" s="80" t="e">
        <f t="shared" si="3"/>
        <v>#NUM!</v>
      </c>
      <c r="I35" s="80" t="e">
        <f t="shared" si="3"/>
        <v>#NUM!</v>
      </c>
      <c r="J35" s="80" t="e">
        <f t="shared" si="3"/>
        <v>#NUM!</v>
      </c>
      <c r="K35" s="80" t="e">
        <f t="shared" si="3"/>
        <v>#NUM!</v>
      </c>
      <c r="L35" s="80" t="e">
        <f t="shared" si="3"/>
        <v>#NUM!</v>
      </c>
      <c r="M35" s="81" t="e">
        <f t="shared" si="3"/>
        <v>#NUM!</v>
      </c>
      <c r="N35" s="10"/>
      <c r="O35" s="10"/>
      <c r="P35" s="82"/>
      <c r="Q35" s="10"/>
      <c r="R35" s="10"/>
      <c r="S35" s="10"/>
    </row>
    <row r="36" spans="1:19">
      <c r="A36" s="75" t="s">
        <v>11</v>
      </c>
      <c r="B36" s="79" t="e">
        <f t="shared" si="1"/>
        <v>#NUM!</v>
      </c>
      <c r="C36" s="80" t="e">
        <f t="shared" ref="C36:M36" si="4">C10*$L$28+C21*$L$29</f>
        <v>#NUM!</v>
      </c>
      <c r="D36" s="80" t="e">
        <f t="shared" si="4"/>
        <v>#NUM!</v>
      </c>
      <c r="E36" s="80" t="e">
        <f t="shared" si="4"/>
        <v>#NUM!</v>
      </c>
      <c r="F36" s="80" t="e">
        <f t="shared" si="4"/>
        <v>#NUM!</v>
      </c>
      <c r="G36" s="80" t="e">
        <f t="shared" si="4"/>
        <v>#NUM!</v>
      </c>
      <c r="H36" s="80" t="e">
        <f t="shared" si="4"/>
        <v>#NUM!</v>
      </c>
      <c r="I36" s="80" t="e">
        <f t="shared" si="4"/>
        <v>#NUM!</v>
      </c>
      <c r="J36" s="80" t="e">
        <f t="shared" si="4"/>
        <v>#NUM!</v>
      </c>
      <c r="K36" s="80" t="e">
        <f t="shared" si="4"/>
        <v>#NUM!</v>
      </c>
      <c r="L36" s="80" t="e">
        <f t="shared" si="4"/>
        <v>#NUM!</v>
      </c>
      <c r="M36" s="81" t="e">
        <f t="shared" si="4"/>
        <v>#NUM!</v>
      </c>
      <c r="N36" s="10"/>
      <c r="O36" s="10"/>
      <c r="P36" s="82"/>
      <c r="Q36" s="10"/>
      <c r="R36" s="10"/>
      <c r="S36" s="10"/>
    </row>
    <row r="37" spans="1:19">
      <c r="A37" s="75" t="s">
        <v>12</v>
      </c>
      <c r="B37" s="79" t="e">
        <f t="shared" si="1"/>
        <v>#NUM!</v>
      </c>
      <c r="C37" s="80" t="e">
        <f t="shared" ref="C37:M37" si="5">C11*$L$28+C22*$L$29</f>
        <v>#NUM!</v>
      </c>
      <c r="D37" s="80" t="e">
        <f t="shared" si="5"/>
        <v>#NUM!</v>
      </c>
      <c r="E37" s="80" t="e">
        <f t="shared" si="5"/>
        <v>#NUM!</v>
      </c>
      <c r="F37" s="80" t="e">
        <f t="shared" si="5"/>
        <v>#NUM!</v>
      </c>
      <c r="G37" s="80" t="e">
        <f t="shared" si="5"/>
        <v>#NUM!</v>
      </c>
      <c r="H37" s="80" t="e">
        <f t="shared" si="5"/>
        <v>#NUM!</v>
      </c>
      <c r="I37" s="80" t="e">
        <f t="shared" si="5"/>
        <v>#NUM!</v>
      </c>
      <c r="J37" s="80" t="e">
        <f t="shared" si="5"/>
        <v>#NUM!</v>
      </c>
      <c r="K37" s="80" t="e">
        <f t="shared" si="5"/>
        <v>#NUM!</v>
      </c>
      <c r="L37" s="80" t="e">
        <f t="shared" si="5"/>
        <v>#NUM!</v>
      </c>
      <c r="M37" s="81" t="e">
        <f t="shared" si="5"/>
        <v>#NUM!</v>
      </c>
      <c r="N37" s="10"/>
      <c r="O37" s="10"/>
      <c r="P37" s="82"/>
      <c r="Q37" s="10"/>
      <c r="R37" s="10"/>
      <c r="S37" s="10"/>
    </row>
    <row r="38" spans="1:19">
      <c r="A38" s="75" t="s">
        <v>13</v>
      </c>
      <c r="B38" s="79" t="e">
        <f t="shared" si="1"/>
        <v>#NUM!</v>
      </c>
      <c r="C38" s="80" t="e">
        <f t="shared" ref="C38:M38" si="6">C12*$L$28+C23*$L$29</f>
        <v>#NUM!</v>
      </c>
      <c r="D38" s="80" t="e">
        <f t="shared" si="6"/>
        <v>#NUM!</v>
      </c>
      <c r="E38" s="80" t="e">
        <f t="shared" si="6"/>
        <v>#NUM!</v>
      </c>
      <c r="F38" s="80" t="e">
        <f t="shared" si="6"/>
        <v>#NUM!</v>
      </c>
      <c r="G38" s="80" t="e">
        <f t="shared" si="6"/>
        <v>#NUM!</v>
      </c>
      <c r="H38" s="80" t="e">
        <f t="shared" si="6"/>
        <v>#NUM!</v>
      </c>
      <c r="I38" s="80" t="e">
        <f t="shared" si="6"/>
        <v>#NUM!</v>
      </c>
      <c r="J38" s="80" t="e">
        <f t="shared" si="6"/>
        <v>#NUM!</v>
      </c>
      <c r="K38" s="80" t="e">
        <f t="shared" si="6"/>
        <v>#NUM!</v>
      </c>
      <c r="L38" s="80" t="e">
        <f t="shared" si="6"/>
        <v>#NUM!</v>
      </c>
      <c r="M38" s="81" t="e">
        <f t="shared" si="6"/>
        <v>#NUM!</v>
      </c>
      <c r="N38" s="10"/>
      <c r="O38" s="10"/>
      <c r="P38" s="10"/>
      <c r="Q38" s="10"/>
      <c r="R38" s="10"/>
      <c r="S38" s="10"/>
    </row>
    <row r="39" spans="1:19">
      <c r="A39" s="75" t="s">
        <v>14</v>
      </c>
      <c r="B39" s="79" t="e">
        <f t="shared" si="1"/>
        <v>#NUM!</v>
      </c>
      <c r="C39" s="80" t="e">
        <f t="shared" ref="C39:M39" si="7">C13*$L$28+C24*$L$29</f>
        <v>#NUM!</v>
      </c>
      <c r="D39" s="80" t="e">
        <f t="shared" si="7"/>
        <v>#NUM!</v>
      </c>
      <c r="E39" s="80" t="e">
        <f t="shared" si="7"/>
        <v>#NUM!</v>
      </c>
      <c r="F39" s="80" t="e">
        <f t="shared" si="7"/>
        <v>#NUM!</v>
      </c>
      <c r="G39" s="80" t="e">
        <f t="shared" si="7"/>
        <v>#NUM!</v>
      </c>
      <c r="H39" s="80" t="e">
        <f t="shared" si="7"/>
        <v>#NUM!</v>
      </c>
      <c r="I39" s="80" t="e">
        <f t="shared" si="7"/>
        <v>#NUM!</v>
      </c>
      <c r="J39" s="80" t="e">
        <f t="shared" si="7"/>
        <v>#NUM!</v>
      </c>
      <c r="K39" s="80" t="e">
        <f t="shared" si="7"/>
        <v>#NUM!</v>
      </c>
      <c r="L39" s="80" t="e">
        <f t="shared" si="7"/>
        <v>#NUM!</v>
      </c>
      <c r="M39" s="81" t="e">
        <f t="shared" si="7"/>
        <v>#NUM!</v>
      </c>
      <c r="N39" s="10"/>
      <c r="O39" s="10"/>
      <c r="P39" s="10"/>
      <c r="Q39" s="10"/>
      <c r="R39" s="10"/>
      <c r="S39" s="10"/>
    </row>
    <row r="40" spans="1:19" ht="15" thickBot="1">
      <c r="A40" s="75" t="s">
        <v>15</v>
      </c>
      <c r="B40" s="83" t="e">
        <f t="shared" si="1"/>
        <v>#NUM!</v>
      </c>
      <c r="C40" s="84" t="e">
        <f t="shared" ref="C40:M40" si="8">C14*$L$28+C25*$L$29</f>
        <v>#NUM!</v>
      </c>
      <c r="D40" s="84" t="e">
        <f t="shared" si="8"/>
        <v>#NUM!</v>
      </c>
      <c r="E40" s="84" t="e">
        <f t="shared" si="8"/>
        <v>#NUM!</v>
      </c>
      <c r="F40" s="84" t="e">
        <f t="shared" si="8"/>
        <v>#NUM!</v>
      </c>
      <c r="G40" s="84" t="e">
        <f t="shared" si="8"/>
        <v>#NUM!</v>
      </c>
      <c r="H40" s="84" t="e">
        <f t="shared" si="8"/>
        <v>#NUM!</v>
      </c>
      <c r="I40" s="84" t="e">
        <f t="shared" si="8"/>
        <v>#NUM!</v>
      </c>
      <c r="J40" s="84" t="e">
        <f t="shared" si="8"/>
        <v>#NUM!</v>
      </c>
      <c r="K40" s="84" t="e">
        <f t="shared" si="8"/>
        <v>#NUM!</v>
      </c>
      <c r="L40" s="84" t="e">
        <f t="shared" si="8"/>
        <v>#NUM!</v>
      </c>
      <c r="M40" s="85" t="e">
        <f t="shared" si="8"/>
        <v>#NUM!</v>
      </c>
      <c r="N40" s="10"/>
      <c r="O40" s="10"/>
      <c r="P40" s="10"/>
      <c r="Q40" s="10"/>
      <c r="R40" s="10"/>
      <c r="S40" s="10"/>
    </row>
    <row r="41" spans="1:19" ht="15" thickTop="1">
      <c r="A41" s="75"/>
      <c r="B41" s="72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</row>
    <row r="42" spans="1:19" ht="15" thickBot="1">
      <c r="A42" s="75"/>
      <c r="B42" s="9" t="s">
        <v>321</v>
      </c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</row>
    <row r="43" spans="1:19" ht="15" thickTop="1">
      <c r="A43" s="75" t="s">
        <v>8</v>
      </c>
      <c r="B43" s="86" t="e">
        <f>B7*$M$28+B18*$M$29</f>
        <v>#NUM!</v>
      </c>
      <c r="C43" s="87" t="e">
        <f t="shared" ref="C43:M43" si="9">C7*$M$28+C18*$M$29</f>
        <v>#NUM!</v>
      </c>
      <c r="D43" s="87" t="e">
        <f t="shared" si="9"/>
        <v>#NUM!</v>
      </c>
      <c r="E43" s="87" t="e">
        <f t="shared" si="9"/>
        <v>#NUM!</v>
      </c>
      <c r="F43" s="87" t="e">
        <f t="shared" si="9"/>
        <v>#NUM!</v>
      </c>
      <c r="G43" s="87" t="e">
        <f t="shared" si="9"/>
        <v>#NUM!</v>
      </c>
      <c r="H43" s="87" t="e">
        <f t="shared" si="9"/>
        <v>#NUM!</v>
      </c>
      <c r="I43" s="87" t="e">
        <f t="shared" si="9"/>
        <v>#NUM!</v>
      </c>
      <c r="J43" s="87" t="e">
        <f t="shared" si="9"/>
        <v>#NUM!</v>
      </c>
      <c r="K43" s="87" t="e">
        <f t="shared" si="9"/>
        <v>#NUM!</v>
      </c>
      <c r="L43" s="87" t="e">
        <f t="shared" si="9"/>
        <v>#NUM!</v>
      </c>
      <c r="M43" s="88" t="e">
        <f t="shared" si="9"/>
        <v>#NUM!</v>
      </c>
      <c r="N43" s="10"/>
      <c r="O43" s="10"/>
      <c r="P43" s="10"/>
      <c r="Q43" s="10"/>
      <c r="R43" s="10"/>
      <c r="S43" s="10"/>
    </row>
    <row r="44" spans="1:19">
      <c r="A44" s="75" t="s">
        <v>9</v>
      </c>
      <c r="B44" s="89" t="e">
        <f t="shared" ref="B44:B49" si="10">B8*$M$28+B19*$M$29</f>
        <v>#NUM!</v>
      </c>
      <c r="C44" s="90" t="e">
        <f t="shared" ref="C44:M44" si="11">C8*$M$28+C19*$M$29</f>
        <v>#NUM!</v>
      </c>
      <c r="D44" s="90" t="e">
        <f t="shared" si="11"/>
        <v>#NUM!</v>
      </c>
      <c r="E44" s="90" t="e">
        <f t="shared" si="11"/>
        <v>#NUM!</v>
      </c>
      <c r="F44" s="90" t="e">
        <f t="shared" si="11"/>
        <v>#NUM!</v>
      </c>
      <c r="G44" s="90" t="e">
        <f t="shared" si="11"/>
        <v>#NUM!</v>
      </c>
      <c r="H44" s="90" t="e">
        <f t="shared" si="11"/>
        <v>#NUM!</v>
      </c>
      <c r="I44" s="90" t="e">
        <f t="shared" si="11"/>
        <v>#NUM!</v>
      </c>
      <c r="J44" s="90" t="e">
        <f t="shared" si="11"/>
        <v>#NUM!</v>
      </c>
      <c r="K44" s="90" t="e">
        <f t="shared" si="11"/>
        <v>#NUM!</v>
      </c>
      <c r="L44" s="90" t="e">
        <f t="shared" si="11"/>
        <v>#NUM!</v>
      </c>
      <c r="M44" s="91" t="e">
        <f t="shared" si="11"/>
        <v>#NUM!</v>
      </c>
      <c r="N44" s="10"/>
      <c r="O44" s="10"/>
      <c r="P44" s="82"/>
      <c r="Q44" s="10"/>
      <c r="R44" s="10"/>
      <c r="S44" s="10"/>
    </row>
    <row r="45" spans="1:19">
      <c r="A45" s="75" t="s">
        <v>10</v>
      </c>
      <c r="B45" s="89" t="e">
        <f t="shared" si="10"/>
        <v>#NUM!</v>
      </c>
      <c r="C45" s="90" t="e">
        <f t="shared" ref="C45:M45" si="12">C9*$M$28+C20*$M$29</f>
        <v>#NUM!</v>
      </c>
      <c r="D45" s="90" t="e">
        <f t="shared" si="12"/>
        <v>#NUM!</v>
      </c>
      <c r="E45" s="90" t="e">
        <f t="shared" si="12"/>
        <v>#NUM!</v>
      </c>
      <c r="F45" s="90" t="e">
        <f t="shared" si="12"/>
        <v>#NUM!</v>
      </c>
      <c r="G45" s="90" t="e">
        <f t="shared" si="12"/>
        <v>#NUM!</v>
      </c>
      <c r="H45" s="90" t="e">
        <f t="shared" si="12"/>
        <v>#NUM!</v>
      </c>
      <c r="I45" s="90" t="e">
        <f t="shared" si="12"/>
        <v>#NUM!</v>
      </c>
      <c r="J45" s="90" t="e">
        <f t="shared" si="12"/>
        <v>#NUM!</v>
      </c>
      <c r="K45" s="90" t="e">
        <f t="shared" si="12"/>
        <v>#NUM!</v>
      </c>
      <c r="L45" s="90" t="e">
        <f t="shared" si="12"/>
        <v>#NUM!</v>
      </c>
      <c r="M45" s="91" t="e">
        <f t="shared" si="12"/>
        <v>#NUM!</v>
      </c>
      <c r="N45" s="10"/>
      <c r="O45" s="10"/>
      <c r="P45" s="82"/>
      <c r="Q45" s="10"/>
      <c r="R45" s="10"/>
      <c r="S45" s="10"/>
    </row>
    <row r="46" spans="1:19">
      <c r="A46" s="75" t="s">
        <v>11</v>
      </c>
      <c r="B46" s="89" t="e">
        <f t="shared" si="10"/>
        <v>#NUM!</v>
      </c>
      <c r="C46" s="90" t="e">
        <f t="shared" ref="C46:M46" si="13">C10*$M$28+C21*$M$29</f>
        <v>#NUM!</v>
      </c>
      <c r="D46" s="90" t="e">
        <f t="shared" si="13"/>
        <v>#NUM!</v>
      </c>
      <c r="E46" s="90" t="e">
        <f t="shared" si="13"/>
        <v>#NUM!</v>
      </c>
      <c r="F46" s="90" t="e">
        <f t="shared" si="13"/>
        <v>#NUM!</v>
      </c>
      <c r="G46" s="90" t="e">
        <f t="shared" si="13"/>
        <v>#NUM!</v>
      </c>
      <c r="H46" s="90" t="e">
        <f t="shared" si="13"/>
        <v>#NUM!</v>
      </c>
      <c r="I46" s="90" t="e">
        <f t="shared" si="13"/>
        <v>#NUM!</v>
      </c>
      <c r="J46" s="90" t="e">
        <f t="shared" si="13"/>
        <v>#NUM!</v>
      </c>
      <c r="K46" s="90" t="e">
        <f t="shared" si="13"/>
        <v>#NUM!</v>
      </c>
      <c r="L46" s="90" t="e">
        <f t="shared" si="13"/>
        <v>#NUM!</v>
      </c>
      <c r="M46" s="91" t="e">
        <f t="shared" si="13"/>
        <v>#NUM!</v>
      </c>
      <c r="N46" s="10"/>
      <c r="O46" s="10"/>
      <c r="P46" s="82"/>
      <c r="Q46" s="10"/>
      <c r="R46" s="10"/>
      <c r="S46" s="10"/>
    </row>
    <row r="47" spans="1:19">
      <c r="A47" s="75" t="s">
        <v>12</v>
      </c>
      <c r="B47" s="92" t="e">
        <f t="shared" si="10"/>
        <v>#NUM!</v>
      </c>
      <c r="C47" s="93" t="e">
        <f t="shared" ref="C47:M47" si="14">C11*$M$28+C22*$M$29</f>
        <v>#NUM!</v>
      </c>
      <c r="D47" s="93" t="e">
        <f t="shared" si="14"/>
        <v>#NUM!</v>
      </c>
      <c r="E47" s="93" t="e">
        <f t="shared" si="14"/>
        <v>#NUM!</v>
      </c>
      <c r="F47" s="93" t="e">
        <f t="shared" si="14"/>
        <v>#NUM!</v>
      </c>
      <c r="G47" s="93" t="e">
        <f t="shared" si="14"/>
        <v>#NUM!</v>
      </c>
      <c r="H47" s="93" t="e">
        <f t="shared" si="14"/>
        <v>#NUM!</v>
      </c>
      <c r="I47" s="93" t="e">
        <f t="shared" si="14"/>
        <v>#NUM!</v>
      </c>
      <c r="J47" s="93" t="e">
        <f t="shared" si="14"/>
        <v>#NUM!</v>
      </c>
      <c r="K47" s="93" t="e">
        <f t="shared" si="14"/>
        <v>#NUM!</v>
      </c>
      <c r="L47" s="93" t="e">
        <f t="shared" si="14"/>
        <v>#NUM!</v>
      </c>
      <c r="M47" s="94" t="e">
        <f t="shared" si="14"/>
        <v>#NUM!</v>
      </c>
      <c r="N47" s="10"/>
      <c r="O47" s="10"/>
      <c r="P47" s="82"/>
      <c r="Q47" s="10"/>
      <c r="R47" s="10"/>
      <c r="S47" s="10"/>
    </row>
    <row r="48" spans="1:19">
      <c r="A48" s="75" t="s">
        <v>13</v>
      </c>
      <c r="B48" s="89" t="e">
        <f t="shared" si="10"/>
        <v>#NUM!</v>
      </c>
      <c r="C48" s="90" t="e">
        <f t="shared" ref="C48:L48" si="15">C12*$M$28+C23*$M$29</f>
        <v>#NUM!</v>
      </c>
      <c r="D48" s="90" t="e">
        <f t="shared" si="15"/>
        <v>#NUM!</v>
      </c>
      <c r="E48" s="90" t="e">
        <f t="shared" si="15"/>
        <v>#NUM!</v>
      </c>
      <c r="F48" s="90" t="e">
        <f t="shared" si="15"/>
        <v>#NUM!</v>
      </c>
      <c r="G48" s="90" t="e">
        <f t="shared" si="15"/>
        <v>#NUM!</v>
      </c>
      <c r="H48" s="90" t="e">
        <f t="shared" si="15"/>
        <v>#NUM!</v>
      </c>
      <c r="I48" s="90" t="e">
        <f t="shared" si="15"/>
        <v>#NUM!</v>
      </c>
      <c r="J48" s="90" t="e">
        <f t="shared" si="15"/>
        <v>#NUM!</v>
      </c>
      <c r="K48" s="90" t="e">
        <f t="shared" si="15"/>
        <v>#NUM!</v>
      </c>
      <c r="L48" s="90" t="e">
        <f t="shared" si="15"/>
        <v>#NUM!</v>
      </c>
      <c r="M48" s="91" t="e">
        <f>M12*$M$28+M23*$M$29</f>
        <v>#NUM!</v>
      </c>
      <c r="N48" s="10"/>
      <c r="O48" s="10"/>
      <c r="P48" s="10"/>
      <c r="Q48" s="10"/>
      <c r="R48" s="10"/>
      <c r="S48" s="10"/>
    </row>
    <row r="49" spans="1:19">
      <c r="A49" s="75" t="s">
        <v>14</v>
      </c>
      <c r="B49" s="89" t="e">
        <f t="shared" si="10"/>
        <v>#NUM!</v>
      </c>
      <c r="C49" s="90" t="e">
        <f t="shared" ref="C49:M49" si="16">C13*$M$28+C24*$M$29</f>
        <v>#NUM!</v>
      </c>
      <c r="D49" s="90" t="e">
        <f t="shared" si="16"/>
        <v>#NUM!</v>
      </c>
      <c r="E49" s="90" t="e">
        <f t="shared" si="16"/>
        <v>#NUM!</v>
      </c>
      <c r="F49" s="90" t="e">
        <f t="shared" si="16"/>
        <v>#NUM!</v>
      </c>
      <c r="G49" s="90" t="e">
        <f t="shared" si="16"/>
        <v>#NUM!</v>
      </c>
      <c r="H49" s="90" t="e">
        <f t="shared" si="16"/>
        <v>#NUM!</v>
      </c>
      <c r="I49" s="90" t="e">
        <f t="shared" si="16"/>
        <v>#NUM!</v>
      </c>
      <c r="J49" s="90" t="e">
        <f t="shared" si="16"/>
        <v>#NUM!</v>
      </c>
      <c r="K49" s="90" t="e">
        <f t="shared" si="16"/>
        <v>#NUM!</v>
      </c>
      <c r="L49" s="90" t="e">
        <f t="shared" si="16"/>
        <v>#NUM!</v>
      </c>
      <c r="M49" s="91" t="e">
        <f t="shared" si="16"/>
        <v>#NUM!</v>
      </c>
      <c r="N49" s="10"/>
      <c r="O49" s="10"/>
      <c r="P49" s="10"/>
      <c r="Q49" s="10"/>
      <c r="R49" s="10"/>
      <c r="S49" s="10"/>
    </row>
    <row r="50" spans="1:19" ht="15" thickBot="1">
      <c r="A50" s="75" t="s">
        <v>15</v>
      </c>
      <c r="B50" s="95" t="e">
        <f>B14*$M$28+B25*$M$29</f>
        <v>#NUM!</v>
      </c>
      <c r="C50" s="96" t="e">
        <f t="shared" ref="C50:M50" si="17">C14*$M$28+C25*$M$29</f>
        <v>#NUM!</v>
      </c>
      <c r="D50" s="96" t="e">
        <f t="shared" si="17"/>
        <v>#NUM!</v>
      </c>
      <c r="E50" s="96" t="e">
        <f t="shared" si="17"/>
        <v>#NUM!</v>
      </c>
      <c r="F50" s="96" t="e">
        <f t="shared" si="17"/>
        <v>#NUM!</v>
      </c>
      <c r="G50" s="96" t="e">
        <f t="shared" si="17"/>
        <v>#NUM!</v>
      </c>
      <c r="H50" s="96" t="e">
        <f t="shared" si="17"/>
        <v>#NUM!</v>
      </c>
      <c r="I50" s="96" t="e">
        <f t="shared" si="17"/>
        <v>#NUM!</v>
      </c>
      <c r="J50" s="96" t="e">
        <f t="shared" si="17"/>
        <v>#NUM!</v>
      </c>
      <c r="K50" s="96" t="e">
        <f t="shared" si="17"/>
        <v>#NUM!</v>
      </c>
      <c r="L50" s="96" t="e">
        <f t="shared" si="17"/>
        <v>#NUM!</v>
      </c>
      <c r="M50" s="97" t="e">
        <f t="shared" si="17"/>
        <v>#NUM!</v>
      </c>
      <c r="N50" s="10"/>
      <c r="O50" s="10"/>
      <c r="P50" s="10"/>
      <c r="Q50" s="10"/>
      <c r="R50" s="10"/>
      <c r="S50" s="10"/>
    </row>
    <row r="51" spans="1:19" ht="15" thickTop="1">
      <c r="A51" s="98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</row>
    <row r="52" spans="1:19">
      <c r="A52" s="98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</row>
    <row r="53" spans="1:19" ht="15" thickBot="1">
      <c r="A53" s="98"/>
      <c r="B53" s="72" t="s">
        <v>320</v>
      </c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</row>
    <row r="54" spans="1:19" ht="15" thickTop="1">
      <c r="A54" s="75" t="s">
        <v>8</v>
      </c>
      <c r="B54" s="99" t="e">
        <f>IF(B33&lt;0,0,B33)</f>
        <v>#NUM!</v>
      </c>
      <c r="C54" s="100" t="e">
        <f t="shared" ref="C54:M54" si="18">IF(C33&lt;0,0,C33)</f>
        <v>#NUM!</v>
      </c>
      <c r="D54" s="100" t="e">
        <f t="shared" si="18"/>
        <v>#NUM!</v>
      </c>
      <c r="E54" s="100" t="e">
        <f t="shared" si="18"/>
        <v>#NUM!</v>
      </c>
      <c r="F54" s="100" t="e">
        <f t="shared" si="18"/>
        <v>#NUM!</v>
      </c>
      <c r="G54" s="100" t="e">
        <f t="shared" si="18"/>
        <v>#NUM!</v>
      </c>
      <c r="H54" s="100" t="e">
        <f t="shared" si="18"/>
        <v>#NUM!</v>
      </c>
      <c r="I54" s="100" t="e">
        <f t="shared" si="18"/>
        <v>#NUM!</v>
      </c>
      <c r="J54" s="100" t="e">
        <f t="shared" si="18"/>
        <v>#NUM!</v>
      </c>
      <c r="K54" s="100" t="e">
        <f t="shared" si="18"/>
        <v>#NUM!</v>
      </c>
      <c r="L54" s="100" t="e">
        <f t="shared" si="18"/>
        <v>#NUM!</v>
      </c>
      <c r="M54" s="101" t="e">
        <f t="shared" si="18"/>
        <v>#NUM!</v>
      </c>
      <c r="N54" s="10"/>
      <c r="O54" s="10"/>
      <c r="P54" s="10"/>
      <c r="Q54" s="10"/>
      <c r="R54" s="10"/>
      <c r="S54" s="10"/>
    </row>
    <row r="55" spans="1:19">
      <c r="A55" s="75" t="s">
        <v>9</v>
      </c>
      <c r="B55" s="102" t="e">
        <f t="shared" ref="B55:M55" si="19">IF(B34&lt;0,0,B34)</f>
        <v>#NUM!</v>
      </c>
      <c r="C55" s="103" t="e">
        <f t="shared" si="19"/>
        <v>#NUM!</v>
      </c>
      <c r="D55" s="103" t="e">
        <f t="shared" si="19"/>
        <v>#NUM!</v>
      </c>
      <c r="E55" s="103" t="e">
        <f t="shared" si="19"/>
        <v>#NUM!</v>
      </c>
      <c r="F55" s="103" t="e">
        <f t="shared" si="19"/>
        <v>#NUM!</v>
      </c>
      <c r="G55" s="103" t="e">
        <f t="shared" si="19"/>
        <v>#NUM!</v>
      </c>
      <c r="H55" s="103" t="e">
        <f t="shared" si="19"/>
        <v>#NUM!</v>
      </c>
      <c r="I55" s="103" t="e">
        <f t="shared" si="19"/>
        <v>#NUM!</v>
      </c>
      <c r="J55" s="103" t="e">
        <f t="shared" si="19"/>
        <v>#NUM!</v>
      </c>
      <c r="K55" s="103" t="e">
        <f t="shared" si="19"/>
        <v>#NUM!</v>
      </c>
      <c r="L55" s="103" t="e">
        <f t="shared" si="19"/>
        <v>#NUM!</v>
      </c>
      <c r="M55" s="104" t="e">
        <f t="shared" si="19"/>
        <v>#NUM!</v>
      </c>
      <c r="N55" s="10"/>
      <c r="O55" s="10"/>
      <c r="P55" s="10"/>
      <c r="Q55" s="10"/>
      <c r="R55" s="10"/>
      <c r="S55" s="10"/>
    </row>
    <row r="56" spans="1:19">
      <c r="A56" s="75" t="s">
        <v>10</v>
      </c>
      <c r="B56" s="102" t="e">
        <f t="shared" ref="B56:M56" si="20">IF(B35&lt;0,0,B35)</f>
        <v>#NUM!</v>
      </c>
      <c r="C56" s="103" t="e">
        <f t="shared" si="20"/>
        <v>#NUM!</v>
      </c>
      <c r="D56" s="103" t="e">
        <f t="shared" si="20"/>
        <v>#NUM!</v>
      </c>
      <c r="E56" s="103" t="e">
        <f t="shared" si="20"/>
        <v>#NUM!</v>
      </c>
      <c r="F56" s="103" t="e">
        <f t="shared" si="20"/>
        <v>#NUM!</v>
      </c>
      <c r="G56" s="103" t="e">
        <f t="shared" si="20"/>
        <v>#NUM!</v>
      </c>
      <c r="H56" s="103" t="e">
        <f t="shared" si="20"/>
        <v>#NUM!</v>
      </c>
      <c r="I56" s="103" t="e">
        <f t="shared" si="20"/>
        <v>#NUM!</v>
      </c>
      <c r="J56" s="103" t="e">
        <f t="shared" si="20"/>
        <v>#NUM!</v>
      </c>
      <c r="K56" s="103" t="e">
        <f t="shared" si="20"/>
        <v>#NUM!</v>
      </c>
      <c r="L56" s="103" t="e">
        <f t="shared" si="20"/>
        <v>#NUM!</v>
      </c>
      <c r="M56" s="104" t="e">
        <f t="shared" si="20"/>
        <v>#NUM!</v>
      </c>
      <c r="N56" s="10"/>
      <c r="O56" s="10"/>
      <c r="P56" s="10"/>
      <c r="Q56" s="10"/>
      <c r="R56" s="10"/>
      <c r="S56" s="10"/>
    </row>
    <row r="57" spans="1:19">
      <c r="A57" s="75" t="s">
        <v>11</v>
      </c>
      <c r="B57" s="102" t="e">
        <f t="shared" ref="B57:M57" si="21">IF(B36&lt;0,0,B36)</f>
        <v>#NUM!</v>
      </c>
      <c r="C57" s="103" t="e">
        <f t="shared" si="21"/>
        <v>#NUM!</v>
      </c>
      <c r="D57" s="103" t="e">
        <f t="shared" si="21"/>
        <v>#NUM!</v>
      </c>
      <c r="E57" s="103" t="e">
        <f t="shared" si="21"/>
        <v>#NUM!</v>
      </c>
      <c r="F57" s="103" t="e">
        <f t="shared" si="21"/>
        <v>#NUM!</v>
      </c>
      <c r="G57" s="103" t="e">
        <f t="shared" si="21"/>
        <v>#NUM!</v>
      </c>
      <c r="H57" s="103" t="e">
        <f t="shared" si="21"/>
        <v>#NUM!</v>
      </c>
      <c r="I57" s="103" t="e">
        <f t="shared" si="21"/>
        <v>#NUM!</v>
      </c>
      <c r="J57" s="103" t="e">
        <f t="shared" si="21"/>
        <v>#NUM!</v>
      </c>
      <c r="K57" s="103" t="e">
        <f t="shared" si="21"/>
        <v>#NUM!</v>
      </c>
      <c r="L57" s="103" t="e">
        <f t="shared" si="21"/>
        <v>#NUM!</v>
      </c>
      <c r="M57" s="104" t="e">
        <f t="shared" si="21"/>
        <v>#NUM!</v>
      </c>
      <c r="N57" s="10"/>
      <c r="O57" s="10"/>
      <c r="P57" s="10"/>
      <c r="Q57" s="10"/>
      <c r="R57" s="10"/>
      <c r="S57" s="10"/>
    </row>
    <row r="58" spans="1:19">
      <c r="A58" s="75" t="s">
        <v>12</v>
      </c>
      <c r="B58" s="102" t="e">
        <f t="shared" ref="B58:M58" si="22">IF(B37&lt;0,0,B37)</f>
        <v>#NUM!</v>
      </c>
      <c r="C58" s="103" t="e">
        <f t="shared" si="22"/>
        <v>#NUM!</v>
      </c>
      <c r="D58" s="103" t="e">
        <f t="shared" si="22"/>
        <v>#NUM!</v>
      </c>
      <c r="E58" s="103" t="e">
        <f t="shared" si="22"/>
        <v>#NUM!</v>
      </c>
      <c r="F58" s="103" t="e">
        <f t="shared" si="22"/>
        <v>#NUM!</v>
      </c>
      <c r="G58" s="103" t="e">
        <f t="shared" si="22"/>
        <v>#NUM!</v>
      </c>
      <c r="H58" s="103" t="e">
        <f t="shared" si="22"/>
        <v>#NUM!</v>
      </c>
      <c r="I58" s="103" t="e">
        <f t="shared" si="22"/>
        <v>#NUM!</v>
      </c>
      <c r="J58" s="103" t="e">
        <f t="shared" si="22"/>
        <v>#NUM!</v>
      </c>
      <c r="K58" s="103" t="e">
        <f t="shared" si="22"/>
        <v>#NUM!</v>
      </c>
      <c r="L58" s="103" t="e">
        <f t="shared" si="22"/>
        <v>#NUM!</v>
      </c>
      <c r="M58" s="104" t="e">
        <f t="shared" si="22"/>
        <v>#NUM!</v>
      </c>
      <c r="N58" s="10"/>
      <c r="O58" s="10"/>
      <c r="P58" s="10"/>
      <c r="Q58" s="10"/>
      <c r="R58" s="10"/>
      <c r="S58" s="10"/>
    </row>
    <row r="59" spans="1:19">
      <c r="A59" s="75" t="s">
        <v>13</v>
      </c>
      <c r="B59" s="102" t="e">
        <f t="shared" ref="B59:M59" si="23">IF(B38&lt;0,0,B38)</f>
        <v>#NUM!</v>
      </c>
      <c r="C59" s="103" t="e">
        <f t="shared" si="23"/>
        <v>#NUM!</v>
      </c>
      <c r="D59" s="103" t="e">
        <f t="shared" si="23"/>
        <v>#NUM!</v>
      </c>
      <c r="E59" s="103" t="e">
        <f t="shared" si="23"/>
        <v>#NUM!</v>
      </c>
      <c r="F59" s="103" t="e">
        <f t="shared" si="23"/>
        <v>#NUM!</v>
      </c>
      <c r="G59" s="103" t="e">
        <f t="shared" si="23"/>
        <v>#NUM!</v>
      </c>
      <c r="H59" s="103" t="e">
        <f t="shared" si="23"/>
        <v>#NUM!</v>
      </c>
      <c r="I59" s="103" t="e">
        <f t="shared" si="23"/>
        <v>#NUM!</v>
      </c>
      <c r="J59" s="103" t="e">
        <f t="shared" si="23"/>
        <v>#NUM!</v>
      </c>
      <c r="K59" s="103" t="e">
        <f t="shared" si="23"/>
        <v>#NUM!</v>
      </c>
      <c r="L59" s="103" t="e">
        <f t="shared" si="23"/>
        <v>#NUM!</v>
      </c>
      <c r="M59" s="104" t="e">
        <f t="shared" si="23"/>
        <v>#NUM!</v>
      </c>
      <c r="N59" s="10"/>
      <c r="O59" s="10"/>
      <c r="P59" s="10"/>
      <c r="Q59" s="10"/>
      <c r="R59" s="10"/>
      <c r="S59" s="10"/>
    </row>
    <row r="60" spans="1:19">
      <c r="A60" s="75" t="s">
        <v>14</v>
      </c>
      <c r="B60" s="102" t="e">
        <f t="shared" ref="B60:M60" si="24">IF(B39&lt;0,0,B39)</f>
        <v>#NUM!</v>
      </c>
      <c r="C60" s="103" t="e">
        <f t="shared" si="24"/>
        <v>#NUM!</v>
      </c>
      <c r="D60" s="103" t="e">
        <f t="shared" si="24"/>
        <v>#NUM!</v>
      </c>
      <c r="E60" s="103" t="e">
        <f t="shared" si="24"/>
        <v>#NUM!</v>
      </c>
      <c r="F60" s="103" t="e">
        <f t="shared" si="24"/>
        <v>#NUM!</v>
      </c>
      <c r="G60" s="103" t="e">
        <f t="shared" si="24"/>
        <v>#NUM!</v>
      </c>
      <c r="H60" s="103" t="e">
        <f t="shared" si="24"/>
        <v>#NUM!</v>
      </c>
      <c r="I60" s="103" t="e">
        <f t="shared" si="24"/>
        <v>#NUM!</v>
      </c>
      <c r="J60" s="103" t="e">
        <f t="shared" si="24"/>
        <v>#NUM!</v>
      </c>
      <c r="K60" s="103" t="e">
        <f t="shared" si="24"/>
        <v>#NUM!</v>
      </c>
      <c r="L60" s="103" t="e">
        <f t="shared" si="24"/>
        <v>#NUM!</v>
      </c>
      <c r="M60" s="104" t="e">
        <f t="shared" si="24"/>
        <v>#NUM!</v>
      </c>
      <c r="N60" s="10"/>
      <c r="O60" s="10"/>
      <c r="P60" s="10"/>
      <c r="Q60" s="10"/>
      <c r="R60" s="10"/>
      <c r="S60" s="10"/>
    </row>
    <row r="61" spans="1:19" ht="15" thickBot="1">
      <c r="A61" s="75" t="s">
        <v>15</v>
      </c>
      <c r="B61" s="105" t="e">
        <f t="shared" ref="B61:M61" si="25">IF(B40&lt;0,0,B40)</f>
        <v>#NUM!</v>
      </c>
      <c r="C61" s="106" t="e">
        <f t="shared" si="25"/>
        <v>#NUM!</v>
      </c>
      <c r="D61" s="106" t="e">
        <f t="shared" si="25"/>
        <v>#NUM!</v>
      </c>
      <c r="E61" s="106" t="e">
        <f t="shared" si="25"/>
        <v>#NUM!</v>
      </c>
      <c r="F61" s="106" t="e">
        <f t="shared" si="25"/>
        <v>#NUM!</v>
      </c>
      <c r="G61" s="106" t="e">
        <f t="shared" si="25"/>
        <v>#NUM!</v>
      </c>
      <c r="H61" s="106" t="e">
        <f t="shared" si="25"/>
        <v>#NUM!</v>
      </c>
      <c r="I61" s="106" t="e">
        <f t="shared" si="25"/>
        <v>#NUM!</v>
      </c>
      <c r="J61" s="106" t="e">
        <f t="shared" si="25"/>
        <v>#NUM!</v>
      </c>
      <c r="K61" s="106" t="e">
        <f t="shared" si="25"/>
        <v>#NUM!</v>
      </c>
      <c r="L61" s="106" t="e">
        <f t="shared" si="25"/>
        <v>#NUM!</v>
      </c>
      <c r="M61" s="107" t="e">
        <f t="shared" si="25"/>
        <v>#NUM!</v>
      </c>
      <c r="N61" s="10"/>
      <c r="O61" s="10"/>
      <c r="P61" s="10"/>
      <c r="Q61" s="10"/>
      <c r="R61" s="10"/>
      <c r="S61" s="10"/>
    </row>
    <row r="62" spans="1:19" ht="15" thickTop="1">
      <c r="A62" s="75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</row>
    <row r="63" spans="1:19" ht="15" thickBot="1">
      <c r="A63" s="75"/>
      <c r="B63" s="9" t="s">
        <v>322</v>
      </c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</row>
    <row r="64" spans="1:19" ht="15" thickTop="1">
      <c r="A64" s="75" t="s">
        <v>8</v>
      </c>
      <c r="B64" s="108" t="e">
        <f>IF(B43&lt;0,0,B43)</f>
        <v>#NUM!</v>
      </c>
      <c r="C64" s="109" t="e">
        <f t="shared" ref="C64:M64" si="26">IF(C43&lt;0,0,C43)</f>
        <v>#NUM!</v>
      </c>
      <c r="D64" s="109" t="e">
        <f t="shared" si="26"/>
        <v>#NUM!</v>
      </c>
      <c r="E64" s="109" t="e">
        <f t="shared" si="26"/>
        <v>#NUM!</v>
      </c>
      <c r="F64" s="109" t="e">
        <f t="shared" si="26"/>
        <v>#NUM!</v>
      </c>
      <c r="G64" s="109" t="e">
        <f t="shared" si="26"/>
        <v>#NUM!</v>
      </c>
      <c r="H64" s="109" t="e">
        <f t="shared" si="26"/>
        <v>#NUM!</v>
      </c>
      <c r="I64" s="109" t="e">
        <f t="shared" si="26"/>
        <v>#NUM!</v>
      </c>
      <c r="J64" s="109" t="e">
        <f t="shared" si="26"/>
        <v>#NUM!</v>
      </c>
      <c r="K64" s="109" t="e">
        <f t="shared" si="26"/>
        <v>#NUM!</v>
      </c>
      <c r="L64" s="109" t="e">
        <f t="shared" si="26"/>
        <v>#NUM!</v>
      </c>
      <c r="M64" s="110" t="e">
        <f t="shared" si="26"/>
        <v>#NUM!</v>
      </c>
      <c r="N64" s="10"/>
      <c r="O64" s="10"/>
      <c r="P64" s="10"/>
      <c r="Q64" s="10"/>
      <c r="R64" s="10"/>
      <c r="S64" s="10"/>
    </row>
    <row r="65" spans="1:19">
      <c r="A65" s="75" t="s">
        <v>9</v>
      </c>
      <c r="B65" s="111" t="e">
        <f t="shared" ref="B65:M65" si="27">IF(B44&lt;0,0,B44)</f>
        <v>#NUM!</v>
      </c>
      <c r="C65" s="112" t="e">
        <f t="shared" si="27"/>
        <v>#NUM!</v>
      </c>
      <c r="D65" s="112" t="e">
        <f t="shared" si="27"/>
        <v>#NUM!</v>
      </c>
      <c r="E65" s="112" t="e">
        <f t="shared" si="27"/>
        <v>#NUM!</v>
      </c>
      <c r="F65" s="112" t="e">
        <f t="shared" si="27"/>
        <v>#NUM!</v>
      </c>
      <c r="G65" s="112" t="e">
        <f t="shared" si="27"/>
        <v>#NUM!</v>
      </c>
      <c r="H65" s="112" t="e">
        <f t="shared" si="27"/>
        <v>#NUM!</v>
      </c>
      <c r="I65" s="112" t="e">
        <f t="shared" si="27"/>
        <v>#NUM!</v>
      </c>
      <c r="J65" s="112" t="e">
        <f t="shared" si="27"/>
        <v>#NUM!</v>
      </c>
      <c r="K65" s="112" t="e">
        <f t="shared" si="27"/>
        <v>#NUM!</v>
      </c>
      <c r="L65" s="112" t="e">
        <f t="shared" si="27"/>
        <v>#NUM!</v>
      </c>
      <c r="M65" s="113" t="e">
        <f t="shared" si="27"/>
        <v>#NUM!</v>
      </c>
      <c r="N65" s="10"/>
      <c r="O65" s="10"/>
      <c r="P65" s="10"/>
      <c r="Q65" s="10"/>
      <c r="R65" s="10"/>
      <c r="S65" s="10"/>
    </row>
    <row r="66" spans="1:19">
      <c r="A66" s="75" t="s">
        <v>10</v>
      </c>
      <c r="B66" s="111" t="e">
        <f t="shared" ref="B66:M66" si="28">IF(B45&lt;0,0,B45)</f>
        <v>#NUM!</v>
      </c>
      <c r="C66" s="112" t="e">
        <f t="shared" si="28"/>
        <v>#NUM!</v>
      </c>
      <c r="D66" s="112" t="e">
        <f t="shared" si="28"/>
        <v>#NUM!</v>
      </c>
      <c r="E66" s="112" t="e">
        <f t="shared" si="28"/>
        <v>#NUM!</v>
      </c>
      <c r="F66" s="112" t="e">
        <f t="shared" si="28"/>
        <v>#NUM!</v>
      </c>
      <c r="G66" s="112" t="e">
        <f t="shared" si="28"/>
        <v>#NUM!</v>
      </c>
      <c r="H66" s="112" t="e">
        <f t="shared" si="28"/>
        <v>#NUM!</v>
      </c>
      <c r="I66" s="112" t="e">
        <f t="shared" si="28"/>
        <v>#NUM!</v>
      </c>
      <c r="J66" s="112" t="e">
        <f t="shared" si="28"/>
        <v>#NUM!</v>
      </c>
      <c r="K66" s="112" t="e">
        <f t="shared" si="28"/>
        <v>#NUM!</v>
      </c>
      <c r="L66" s="112" t="e">
        <f t="shared" si="28"/>
        <v>#NUM!</v>
      </c>
      <c r="M66" s="113" t="e">
        <f t="shared" si="28"/>
        <v>#NUM!</v>
      </c>
      <c r="N66" s="10"/>
      <c r="O66" s="10"/>
      <c r="P66" s="10"/>
      <c r="Q66" s="10"/>
      <c r="R66" s="10"/>
      <c r="S66" s="10"/>
    </row>
    <row r="67" spans="1:19">
      <c r="A67" s="75" t="s">
        <v>11</v>
      </c>
      <c r="B67" s="111" t="e">
        <f t="shared" ref="B67:M67" si="29">IF(B46&lt;0,0,B46)</f>
        <v>#NUM!</v>
      </c>
      <c r="C67" s="112" t="e">
        <f t="shared" si="29"/>
        <v>#NUM!</v>
      </c>
      <c r="D67" s="112" t="e">
        <f t="shared" si="29"/>
        <v>#NUM!</v>
      </c>
      <c r="E67" s="112" t="e">
        <f t="shared" si="29"/>
        <v>#NUM!</v>
      </c>
      <c r="F67" s="112" t="e">
        <f t="shared" si="29"/>
        <v>#NUM!</v>
      </c>
      <c r="G67" s="112" t="e">
        <f t="shared" si="29"/>
        <v>#NUM!</v>
      </c>
      <c r="H67" s="112" t="e">
        <f t="shared" si="29"/>
        <v>#NUM!</v>
      </c>
      <c r="I67" s="112" t="e">
        <f t="shared" si="29"/>
        <v>#NUM!</v>
      </c>
      <c r="J67" s="112" t="e">
        <f t="shared" si="29"/>
        <v>#NUM!</v>
      </c>
      <c r="K67" s="112" t="e">
        <f t="shared" si="29"/>
        <v>#NUM!</v>
      </c>
      <c r="L67" s="112" t="e">
        <f t="shared" si="29"/>
        <v>#NUM!</v>
      </c>
      <c r="M67" s="113" t="e">
        <f t="shared" si="29"/>
        <v>#NUM!</v>
      </c>
      <c r="N67" s="10"/>
      <c r="O67" s="10"/>
      <c r="P67" s="10"/>
      <c r="Q67" s="10"/>
      <c r="R67" s="10"/>
      <c r="S67" s="10"/>
    </row>
    <row r="68" spans="1:19">
      <c r="A68" s="75" t="s">
        <v>12</v>
      </c>
      <c r="B68" s="111" t="e">
        <f t="shared" ref="B68:M68" si="30">IF(B47&lt;0,0,B47)</f>
        <v>#NUM!</v>
      </c>
      <c r="C68" s="112" t="e">
        <f t="shared" si="30"/>
        <v>#NUM!</v>
      </c>
      <c r="D68" s="112" t="e">
        <f t="shared" si="30"/>
        <v>#NUM!</v>
      </c>
      <c r="E68" s="112" t="e">
        <f t="shared" si="30"/>
        <v>#NUM!</v>
      </c>
      <c r="F68" s="112" t="e">
        <f t="shared" si="30"/>
        <v>#NUM!</v>
      </c>
      <c r="G68" s="112" t="e">
        <f t="shared" si="30"/>
        <v>#NUM!</v>
      </c>
      <c r="H68" s="112" t="e">
        <f t="shared" si="30"/>
        <v>#NUM!</v>
      </c>
      <c r="I68" s="112" t="e">
        <f t="shared" si="30"/>
        <v>#NUM!</v>
      </c>
      <c r="J68" s="112" t="e">
        <f t="shared" si="30"/>
        <v>#NUM!</v>
      </c>
      <c r="K68" s="112" t="e">
        <f t="shared" si="30"/>
        <v>#NUM!</v>
      </c>
      <c r="L68" s="112" t="e">
        <f t="shared" si="30"/>
        <v>#NUM!</v>
      </c>
      <c r="M68" s="113" t="e">
        <f t="shared" si="30"/>
        <v>#NUM!</v>
      </c>
      <c r="N68" s="10"/>
      <c r="O68" s="10"/>
      <c r="P68" s="10"/>
      <c r="Q68" s="10"/>
      <c r="R68" s="10"/>
      <c r="S68" s="10"/>
    </row>
    <row r="69" spans="1:19">
      <c r="A69" s="75" t="s">
        <v>13</v>
      </c>
      <c r="B69" s="111" t="e">
        <f t="shared" ref="B69:M69" si="31">IF(B48&lt;0,0,B48)</f>
        <v>#NUM!</v>
      </c>
      <c r="C69" s="112" t="e">
        <f t="shared" si="31"/>
        <v>#NUM!</v>
      </c>
      <c r="D69" s="112" t="e">
        <f t="shared" si="31"/>
        <v>#NUM!</v>
      </c>
      <c r="E69" s="112" t="e">
        <f t="shared" si="31"/>
        <v>#NUM!</v>
      </c>
      <c r="F69" s="112" t="e">
        <f t="shared" si="31"/>
        <v>#NUM!</v>
      </c>
      <c r="G69" s="112" t="e">
        <f t="shared" si="31"/>
        <v>#NUM!</v>
      </c>
      <c r="H69" s="112" t="e">
        <f t="shared" si="31"/>
        <v>#NUM!</v>
      </c>
      <c r="I69" s="112" t="e">
        <f t="shared" si="31"/>
        <v>#NUM!</v>
      </c>
      <c r="J69" s="112" t="e">
        <f t="shared" si="31"/>
        <v>#NUM!</v>
      </c>
      <c r="K69" s="112" t="e">
        <f t="shared" si="31"/>
        <v>#NUM!</v>
      </c>
      <c r="L69" s="112" t="e">
        <f t="shared" si="31"/>
        <v>#NUM!</v>
      </c>
      <c r="M69" s="113" t="e">
        <f t="shared" si="31"/>
        <v>#NUM!</v>
      </c>
      <c r="N69" s="10"/>
      <c r="O69" s="10"/>
      <c r="P69" s="10"/>
      <c r="Q69" s="10"/>
      <c r="R69" s="10"/>
      <c r="S69" s="10"/>
    </row>
    <row r="70" spans="1:19">
      <c r="A70" s="75" t="s">
        <v>14</v>
      </c>
      <c r="B70" s="111" t="e">
        <f t="shared" ref="B70:M70" si="32">IF(B49&lt;0,0,B49)</f>
        <v>#NUM!</v>
      </c>
      <c r="C70" s="112" t="e">
        <f t="shared" si="32"/>
        <v>#NUM!</v>
      </c>
      <c r="D70" s="112" t="e">
        <f t="shared" si="32"/>
        <v>#NUM!</v>
      </c>
      <c r="E70" s="112" t="e">
        <f t="shared" si="32"/>
        <v>#NUM!</v>
      </c>
      <c r="F70" s="112" t="e">
        <f t="shared" si="32"/>
        <v>#NUM!</v>
      </c>
      <c r="G70" s="112" t="e">
        <f t="shared" si="32"/>
        <v>#NUM!</v>
      </c>
      <c r="H70" s="112" t="e">
        <f t="shared" si="32"/>
        <v>#NUM!</v>
      </c>
      <c r="I70" s="112" t="e">
        <f t="shared" si="32"/>
        <v>#NUM!</v>
      </c>
      <c r="J70" s="112" t="e">
        <f t="shared" si="32"/>
        <v>#NUM!</v>
      </c>
      <c r="K70" s="112" t="e">
        <f t="shared" si="32"/>
        <v>#NUM!</v>
      </c>
      <c r="L70" s="112" t="e">
        <f t="shared" si="32"/>
        <v>#NUM!</v>
      </c>
      <c r="M70" s="113" t="e">
        <f t="shared" si="32"/>
        <v>#NUM!</v>
      </c>
      <c r="N70" s="10"/>
      <c r="O70" s="10"/>
      <c r="P70" s="10"/>
      <c r="Q70" s="10"/>
      <c r="R70" s="10"/>
      <c r="S70" s="10"/>
    </row>
    <row r="71" spans="1:19" ht="15" thickBot="1">
      <c r="A71" s="75" t="s">
        <v>15</v>
      </c>
      <c r="B71" s="114" t="e">
        <f t="shared" ref="B71:M71" si="33">IF(B50&lt;0,0,B50)</f>
        <v>#NUM!</v>
      </c>
      <c r="C71" s="115" t="e">
        <f t="shared" si="33"/>
        <v>#NUM!</v>
      </c>
      <c r="D71" s="115" t="e">
        <f t="shared" si="33"/>
        <v>#NUM!</v>
      </c>
      <c r="E71" s="115" t="e">
        <f t="shared" si="33"/>
        <v>#NUM!</v>
      </c>
      <c r="F71" s="115" t="e">
        <f t="shared" si="33"/>
        <v>#NUM!</v>
      </c>
      <c r="G71" s="115" t="e">
        <f t="shared" si="33"/>
        <v>#NUM!</v>
      </c>
      <c r="H71" s="115" t="e">
        <f t="shared" si="33"/>
        <v>#NUM!</v>
      </c>
      <c r="I71" s="115" t="e">
        <f t="shared" si="33"/>
        <v>#NUM!</v>
      </c>
      <c r="J71" s="115" t="e">
        <f t="shared" si="33"/>
        <v>#NUM!</v>
      </c>
      <c r="K71" s="115" t="e">
        <f t="shared" si="33"/>
        <v>#NUM!</v>
      </c>
      <c r="L71" s="115" t="e">
        <f t="shared" si="33"/>
        <v>#NUM!</v>
      </c>
      <c r="M71" s="116" t="e">
        <f t="shared" si="33"/>
        <v>#NUM!</v>
      </c>
      <c r="N71" s="10"/>
      <c r="O71" s="10"/>
      <c r="P71" s="10"/>
      <c r="Q71" s="10"/>
      <c r="R71" s="10"/>
      <c r="S71" s="10"/>
    </row>
    <row r="72" spans="1:19" ht="15" thickTop="1">
      <c r="A72" s="98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</row>
    <row r="73" spans="1:19">
      <c r="A73" s="98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</row>
    <row r="74" spans="1:19">
      <c r="A74" s="10" t="s">
        <v>315</v>
      </c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</row>
    <row r="75" spans="1:19">
      <c r="A75" s="10"/>
      <c r="B75" s="117" t="e">
        <f>IF(B64=0,0,B54/B64)</f>
        <v>#NUM!</v>
      </c>
      <c r="C75" s="118" t="e">
        <f t="shared" ref="C75:M75" si="34">IF(C64=0,0,C54/C64)</f>
        <v>#NUM!</v>
      </c>
      <c r="D75" s="118" t="e">
        <f t="shared" si="34"/>
        <v>#NUM!</v>
      </c>
      <c r="E75" s="118" t="e">
        <f t="shared" si="34"/>
        <v>#NUM!</v>
      </c>
      <c r="F75" s="118" t="e">
        <f t="shared" si="34"/>
        <v>#NUM!</v>
      </c>
      <c r="G75" s="118" t="e">
        <f t="shared" si="34"/>
        <v>#NUM!</v>
      </c>
      <c r="H75" s="118" t="e">
        <f t="shared" si="34"/>
        <v>#NUM!</v>
      </c>
      <c r="I75" s="118" t="e">
        <f t="shared" si="34"/>
        <v>#NUM!</v>
      </c>
      <c r="J75" s="118" t="e">
        <f t="shared" si="34"/>
        <v>#NUM!</v>
      </c>
      <c r="K75" s="118" t="e">
        <f t="shared" si="34"/>
        <v>#NUM!</v>
      </c>
      <c r="L75" s="118" t="e">
        <f t="shared" si="34"/>
        <v>#NUM!</v>
      </c>
      <c r="M75" s="119" t="e">
        <f t="shared" si="34"/>
        <v>#NUM!</v>
      </c>
      <c r="N75" s="10"/>
      <c r="O75" s="10"/>
      <c r="P75" s="10"/>
      <c r="Q75" s="10"/>
      <c r="R75" s="10"/>
      <c r="S75" s="10"/>
    </row>
    <row r="76" spans="1:19">
      <c r="A76" s="10"/>
      <c r="B76" s="120" t="e">
        <f t="shared" ref="B76:M82" si="35">IF(B65=0,0,B55/B65)</f>
        <v>#NUM!</v>
      </c>
      <c r="C76" s="121" t="e">
        <f t="shared" si="35"/>
        <v>#NUM!</v>
      </c>
      <c r="D76" s="121" t="e">
        <f t="shared" si="35"/>
        <v>#NUM!</v>
      </c>
      <c r="E76" s="121" t="e">
        <f t="shared" si="35"/>
        <v>#NUM!</v>
      </c>
      <c r="F76" s="121" t="e">
        <f t="shared" si="35"/>
        <v>#NUM!</v>
      </c>
      <c r="G76" s="121" t="e">
        <f t="shared" si="35"/>
        <v>#NUM!</v>
      </c>
      <c r="H76" s="121" t="e">
        <f t="shared" si="35"/>
        <v>#NUM!</v>
      </c>
      <c r="I76" s="121" t="e">
        <f t="shared" si="35"/>
        <v>#NUM!</v>
      </c>
      <c r="J76" s="121" t="e">
        <f t="shared" si="35"/>
        <v>#NUM!</v>
      </c>
      <c r="K76" s="121" t="e">
        <f t="shared" si="35"/>
        <v>#NUM!</v>
      </c>
      <c r="L76" s="121" t="e">
        <f t="shared" si="35"/>
        <v>#NUM!</v>
      </c>
      <c r="M76" s="122" t="e">
        <f t="shared" si="35"/>
        <v>#NUM!</v>
      </c>
      <c r="N76" s="10"/>
      <c r="O76" s="10"/>
      <c r="P76" s="10"/>
      <c r="Q76" s="10"/>
      <c r="R76" s="10"/>
      <c r="S76" s="10"/>
    </row>
    <row r="77" spans="1:19">
      <c r="A77" s="10"/>
      <c r="B77" s="120" t="e">
        <f t="shared" si="35"/>
        <v>#NUM!</v>
      </c>
      <c r="C77" s="121" t="e">
        <f t="shared" si="35"/>
        <v>#NUM!</v>
      </c>
      <c r="D77" s="121" t="e">
        <f t="shared" si="35"/>
        <v>#NUM!</v>
      </c>
      <c r="E77" s="121" t="e">
        <f t="shared" si="35"/>
        <v>#NUM!</v>
      </c>
      <c r="F77" s="121" t="e">
        <f t="shared" si="35"/>
        <v>#NUM!</v>
      </c>
      <c r="G77" s="121" t="e">
        <f t="shared" si="35"/>
        <v>#NUM!</v>
      </c>
      <c r="H77" s="121" t="e">
        <f t="shared" si="35"/>
        <v>#NUM!</v>
      </c>
      <c r="I77" s="121" t="e">
        <f t="shared" si="35"/>
        <v>#NUM!</v>
      </c>
      <c r="J77" s="121" t="e">
        <f t="shared" si="35"/>
        <v>#NUM!</v>
      </c>
      <c r="K77" s="121" t="e">
        <f t="shared" si="35"/>
        <v>#NUM!</v>
      </c>
      <c r="L77" s="121" t="e">
        <f t="shared" si="35"/>
        <v>#NUM!</v>
      </c>
      <c r="M77" s="122" t="e">
        <f t="shared" si="35"/>
        <v>#NUM!</v>
      </c>
      <c r="N77" s="10"/>
      <c r="O77" s="10"/>
      <c r="P77" s="10"/>
      <c r="Q77" s="10"/>
      <c r="R77" s="10"/>
      <c r="S77" s="10"/>
    </row>
    <row r="78" spans="1:19">
      <c r="A78" s="10"/>
      <c r="B78" s="120" t="e">
        <f t="shared" si="35"/>
        <v>#NUM!</v>
      </c>
      <c r="C78" s="121" t="e">
        <f t="shared" si="35"/>
        <v>#NUM!</v>
      </c>
      <c r="D78" s="121" t="e">
        <f t="shared" si="35"/>
        <v>#NUM!</v>
      </c>
      <c r="E78" s="121" t="e">
        <f t="shared" si="35"/>
        <v>#NUM!</v>
      </c>
      <c r="F78" s="121" t="e">
        <f t="shared" si="35"/>
        <v>#NUM!</v>
      </c>
      <c r="G78" s="121" t="e">
        <f t="shared" si="35"/>
        <v>#NUM!</v>
      </c>
      <c r="H78" s="121" t="e">
        <f t="shared" si="35"/>
        <v>#NUM!</v>
      </c>
      <c r="I78" s="121" t="e">
        <f t="shared" si="35"/>
        <v>#NUM!</v>
      </c>
      <c r="J78" s="121" t="e">
        <f t="shared" si="35"/>
        <v>#NUM!</v>
      </c>
      <c r="K78" s="121" t="e">
        <f t="shared" si="35"/>
        <v>#NUM!</v>
      </c>
      <c r="L78" s="121" t="e">
        <f t="shared" si="35"/>
        <v>#NUM!</v>
      </c>
      <c r="M78" s="122" t="e">
        <f t="shared" si="35"/>
        <v>#NUM!</v>
      </c>
      <c r="N78" s="10"/>
      <c r="O78" s="10"/>
      <c r="P78" s="10"/>
      <c r="Q78" s="10"/>
      <c r="R78" s="10"/>
      <c r="S78" s="10"/>
    </row>
    <row r="79" spans="1:19">
      <c r="A79" s="10"/>
      <c r="B79" s="120" t="e">
        <f t="shared" si="35"/>
        <v>#NUM!</v>
      </c>
      <c r="C79" s="121" t="e">
        <f t="shared" si="35"/>
        <v>#NUM!</v>
      </c>
      <c r="D79" s="121" t="e">
        <f t="shared" si="35"/>
        <v>#NUM!</v>
      </c>
      <c r="E79" s="121" t="e">
        <f t="shared" si="35"/>
        <v>#NUM!</v>
      </c>
      <c r="F79" s="121" t="e">
        <f t="shared" si="35"/>
        <v>#NUM!</v>
      </c>
      <c r="G79" s="121" t="e">
        <f t="shared" si="35"/>
        <v>#NUM!</v>
      </c>
      <c r="H79" s="121" t="e">
        <f t="shared" si="35"/>
        <v>#NUM!</v>
      </c>
      <c r="I79" s="121" t="e">
        <f t="shared" si="35"/>
        <v>#NUM!</v>
      </c>
      <c r="J79" s="121" t="e">
        <f t="shared" si="35"/>
        <v>#NUM!</v>
      </c>
      <c r="K79" s="121" t="e">
        <f t="shared" si="35"/>
        <v>#NUM!</v>
      </c>
      <c r="L79" s="121" t="e">
        <f t="shared" si="35"/>
        <v>#NUM!</v>
      </c>
      <c r="M79" s="122" t="e">
        <f t="shared" si="35"/>
        <v>#NUM!</v>
      </c>
      <c r="N79" s="10"/>
      <c r="O79" s="10"/>
      <c r="P79" s="10"/>
      <c r="Q79" s="10"/>
      <c r="R79" s="10"/>
      <c r="S79" s="10"/>
    </row>
    <row r="80" spans="1:19">
      <c r="A80" s="10"/>
      <c r="B80" s="120" t="e">
        <f t="shared" si="35"/>
        <v>#NUM!</v>
      </c>
      <c r="C80" s="121" t="e">
        <f t="shared" si="35"/>
        <v>#NUM!</v>
      </c>
      <c r="D80" s="121" t="e">
        <f t="shared" si="35"/>
        <v>#NUM!</v>
      </c>
      <c r="E80" s="121" t="e">
        <f t="shared" si="35"/>
        <v>#NUM!</v>
      </c>
      <c r="F80" s="121" t="e">
        <f t="shared" si="35"/>
        <v>#NUM!</v>
      </c>
      <c r="G80" s="121" t="e">
        <f t="shared" si="35"/>
        <v>#NUM!</v>
      </c>
      <c r="H80" s="121" t="e">
        <f t="shared" si="35"/>
        <v>#NUM!</v>
      </c>
      <c r="I80" s="121" t="e">
        <f t="shared" si="35"/>
        <v>#NUM!</v>
      </c>
      <c r="J80" s="121" t="e">
        <f t="shared" si="35"/>
        <v>#NUM!</v>
      </c>
      <c r="K80" s="121" t="e">
        <f t="shared" si="35"/>
        <v>#NUM!</v>
      </c>
      <c r="L80" s="121" t="e">
        <f t="shared" si="35"/>
        <v>#NUM!</v>
      </c>
      <c r="M80" s="122" t="e">
        <f t="shared" si="35"/>
        <v>#NUM!</v>
      </c>
      <c r="N80" s="10"/>
      <c r="O80" s="10"/>
      <c r="P80" s="10"/>
      <c r="Q80" s="10"/>
      <c r="R80" s="10"/>
      <c r="S80" s="10"/>
    </row>
    <row r="81" spans="1:19">
      <c r="A81" s="10"/>
      <c r="B81" s="120" t="e">
        <f t="shared" si="35"/>
        <v>#NUM!</v>
      </c>
      <c r="C81" s="121" t="e">
        <f t="shared" si="35"/>
        <v>#NUM!</v>
      </c>
      <c r="D81" s="121" t="e">
        <f t="shared" si="35"/>
        <v>#NUM!</v>
      </c>
      <c r="E81" s="121" t="e">
        <f t="shared" si="35"/>
        <v>#NUM!</v>
      </c>
      <c r="F81" s="121" t="e">
        <f t="shared" si="35"/>
        <v>#NUM!</v>
      </c>
      <c r="G81" s="121" t="e">
        <f t="shared" si="35"/>
        <v>#NUM!</v>
      </c>
      <c r="H81" s="121" t="e">
        <f t="shared" si="35"/>
        <v>#NUM!</v>
      </c>
      <c r="I81" s="121" t="e">
        <f t="shared" si="35"/>
        <v>#NUM!</v>
      </c>
      <c r="J81" s="121" t="e">
        <f t="shared" si="35"/>
        <v>#NUM!</v>
      </c>
      <c r="K81" s="121" t="e">
        <f t="shared" si="35"/>
        <v>#NUM!</v>
      </c>
      <c r="L81" s="121" t="e">
        <f t="shared" si="35"/>
        <v>#NUM!</v>
      </c>
      <c r="M81" s="122" t="e">
        <f t="shared" si="35"/>
        <v>#NUM!</v>
      </c>
      <c r="N81" s="10"/>
      <c r="O81" s="10"/>
      <c r="P81" s="10"/>
      <c r="Q81" s="10"/>
      <c r="R81" s="10"/>
      <c r="S81" s="10"/>
    </row>
    <row r="82" spans="1:19">
      <c r="A82" s="10"/>
      <c r="B82" s="123" t="e">
        <f t="shared" si="35"/>
        <v>#NUM!</v>
      </c>
      <c r="C82" s="124" t="e">
        <f t="shared" si="35"/>
        <v>#NUM!</v>
      </c>
      <c r="D82" s="124" t="e">
        <f t="shared" si="35"/>
        <v>#NUM!</v>
      </c>
      <c r="E82" s="124" t="e">
        <f t="shared" si="35"/>
        <v>#NUM!</v>
      </c>
      <c r="F82" s="124" t="e">
        <f t="shared" si="35"/>
        <v>#NUM!</v>
      </c>
      <c r="G82" s="124" t="e">
        <f t="shared" si="35"/>
        <v>#NUM!</v>
      </c>
      <c r="H82" s="124" t="e">
        <f t="shared" si="35"/>
        <v>#NUM!</v>
      </c>
      <c r="I82" s="124" t="e">
        <f t="shared" si="35"/>
        <v>#NUM!</v>
      </c>
      <c r="J82" s="124" t="e">
        <f t="shared" si="35"/>
        <v>#NUM!</v>
      </c>
      <c r="K82" s="124" t="e">
        <f t="shared" si="35"/>
        <v>#NUM!</v>
      </c>
      <c r="L82" s="124" t="e">
        <f t="shared" si="35"/>
        <v>#NUM!</v>
      </c>
      <c r="M82" s="125" t="e">
        <f t="shared" si="35"/>
        <v>#NUM!</v>
      </c>
      <c r="N82" s="10"/>
      <c r="O82" s="10"/>
      <c r="P82" s="10"/>
      <c r="Q82" s="10"/>
      <c r="R82" s="10"/>
      <c r="S82" s="10"/>
    </row>
    <row r="83" spans="1:19" ht="12.75" customHeight="1">
      <c r="A83" s="10">
        <f>FaceSheet!E10</f>
        <v>0</v>
      </c>
      <c r="B83" s="10"/>
      <c r="C83" s="126"/>
      <c r="D83" s="126"/>
      <c r="E83" s="126"/>
      <c r="F83" s="126"/>
      <c r="G83" s="126"/>
      <c r="H83" s="126"/>
      <c r="I83" s="126"/>
      <c r="J83" s="126"/>
      <c r="K83" s="126"/>
      <c r="L83" s="126"/>
      <c r="M83" s="10"/>
      <c r="N83" s="10"/>
      <c r="O83" s="10"/>
      <c r="P83" s="10"/>
      <c r="Q83" s="10"/>
      <c r="R83" s="10"/>
      <c r="S83" s="10"/>
    </row>
    <row r="84" spans="1:19" ht="42" customHeight="1">
      <c r="A84" s="127" t="s">
        <v>113</v>
      </c>
      <c r="B84" s="128">
        <v>0</v>
      </c>
      <c r="C84" s="129">
        <f>IF($A$83="1st exp.",C90,C91)</f>
        <v>0</v>
      </c>
      <c r="D84" s="129">
        <f t="shared" ref="D84:K84" si="36">IF($A$83="1st exp.",D90,D91)</f>
        <v>0</v>
      </c>
      <c r="E84" s="129">
        <f t="shared" si="36"/>
        <v>0</v>
      </c>
      <c r="F84" s="130">
        <f t="shared" si="36"/>
        <v>0</v>
      </c>
      <c r="G84" s="130">
        <f t="shared" si="36"/>
        <v>0</v>
      </c>
      <c r="H84" s="130">
        <f t="shared" si="36"/>
        <v>0</v>
      </c>
      <c r="I84" s="130">
        <f t="shared" si="36"/>
        <v>0</v>
      </c>
      <c r="J84" s="130">
        <f t="shared" si="36"/>
        <v>0</v>
      </c>
      <c r="K84" s="130">
        <f t="shared" si="36"/>
        <v>0</v>
      </c>
      <c r="L84" s="130">
        <f>IF($A$83="1st exp.",L90,L91)</f>
        <v>0</v>
      </c>
      <c r="M84" s="131">
        <f>FaceSheet!I17/2</f>
        <v>0</v>
      </c>
      <c r="N84" s="10" t="s">
        <v>211</v>
      </c>
      <c r="O84" s="10"/>
      <c r="P84" s="10"/>
      <c r="Q84" s="10"/>
      <c r="R84" s="10"/>
      <c r="S84" s="10"/>
    </row>
    <row r="85" spans="1:19">
      <c r="A85" s="10" t="s">
        <v>150</v>
      </c>
      <c r="B85" s="132" t="e">
        <f>AVERAGE(B54:B57)</f>
        <v>#NUM!</v>
      </c>
      <c r="C85" s="132" t="e">
        <f>AVERAGE(C54:C57)</f>
        <v>#NUM!</v>
      </c>
      <c r="D85" s="132" t="e">
        <f t="shared" ref="D85:M85" si="37">AVERAGE(D54:D57)</f>
        <v>#NUM!</v>
      </c>
      <c r="E85" s="132" t="e">
        <f t="shared" si="37"/>
        <v>#NUM!</v>
      </c>
      <c r="F85" s="132" t="e">
        <f t="shared" si="37"/>
        <v>#NUM!</v>
      </c>
      <c r="G85" s="132" t="e">
        <f t="shared" si="37"/>
        <v>#NUM!</v>
      </c>
      <c r="H85" s="132" t="e">
        <f t="shared" si="37"/>
        <v>#NUM!</v>
      </c>
      <c r="I85" s="132" t="e">
        <f t="shared" si="37"/>
        <v>#NUM!</v>
      </c>
      <c r="J85" s="132" t="e">
        <f t="shared" si="37"/>
        <v>#NUM!</v>
      </c>
      <c r="K85" s="132" t="e">
        <f t="shared" si="37"/>
        <v>#NUM!</v>
      </c>
      <c r="L85" s="132" t="e">
        <f t="shared" si="37"/>
        <v>#NUM!</v>
      </c>
      <c r="M85" s="132" t="e">
        <f t="shared" si="37"/>
        <v>#NUM!</v>
      </c>
      <c r="N85" s="10"/>
      <c r="O85" s="10"/>
      <c r="P85" s="10"/>
      <c r="Q85" s="10"/>
      <c r="R85" s="10"/>
      <c r="S85" s="10"/>
    </row>
    <row r="86" spans="1:19">
      <c r="A86" s="10" t="s">
        <v>151</v>
      </c>
      <c r="B86" s="132" t="e">
        <f>STDEV(B54:B57)</f>
        <v>#NUM!</v>
      </c>
      <c r="C86" s="132" t="e">
        <f t="shared" ref="C86:M86" si="38">STDEV(C54:C57)</f>
        <v>#NUM!</v>
      </c>
      <c r="D86" s="132" t="e">
        <f t="shared" si="38"/>
        <v>#NUM!</v>
      </c>
      <c r="E86" s="132" t="e">
        <f t="shared" si="38"/>
        <v>#NUM!</v>
      </c>
      <c r="F86" s="132" t="e">
        <f t="shared" si="38"/>
        <v>#NUM!</v>
      </c>
      <c r="G86" s="132" t="e">
        <f t="shared" si="38"/>
        <v>#NUM!</v>
      </c>
      <c r="H86" s="132" t="e">
        <f t="shared" si="38"/>
        <v>#NUM!</v>
      </c>
      <c r="I86" s="132" t="e">
        <f t="shared" si="38"/>
        <v>#NUM!</v>
      </c>
      <c r="J86" s="132" t="e">
        <f t="shared" si="38"/>
        <v>#NUM!</v>
      </c>
      <c r="K86" s="132" t="e">
        <f t="shared" si="38"/>
        <v>#NUM!</v>
      </c>
      <c r="L86" s="132" t="e">
        <f t="shared" si="38"/>
        <v>#NUM!</v>
      </c>
      <c r="M86" s="132" t="e">
        <f t="shared" si="38"/>
        <v>#NUM!</v>
      </c>
      <c r="N86" s="10"/>
      <c r="O86" s="10"/>
      <c r="P86" s="10"/>
      <c r="Q86" s="10"/>
      <c r="R86" s="10"/>
      <c r="S86" s="10"/>
    </row>
    <row r="87" spans="1:19">
      <c r="A87" s="37"/>
      <c r="B87" s="133"/>
      <c r="C87" s="133"/>
      <c r="D87" s="133"/>
      <c r="E87" s="133"/>
      <c r="F87" s="133"/>
      <c r="G87" s="133"/>
      <c r="H87" s="133"/>
      <c r="I87" s="133"/>
      <c r="J87" s="133"/>
      <c r="K87" s="133"/>
      <c r="L87" s="133"/>
      <c r="M87" s="133"/>
      <c r="N87" s="37"/>
      <c r="O87" s="37"/>
      <c r="P87" s="37"/>
      <c r="Q87" s="37"/>
      <c r="R87" s="10"/>
      <c r="S87" s="10"/>
    </row>
    <row r="88" spans="1:19">
      <c r="A88" s="22"/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22"/>
      <c r="O88" s="22"/>
      <c r="P88" s="37"/>
      <c r="Q88" s="37"/>
      <c r="R88" s="10"/>
      <c r="S88" s="10"/>
    </row>
    <row r="89" spans="1:19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37"/>
      <c r="Q89" s="37"/>
      <c r="R89" s="10"/>
      <c r="S89" s="10"/>
    </row>
    <row r="90" spans="1:19">
      <c r="A90" s="22"/>
      <c r="B90" s="22" t="s">
        <v>216</v>
      </c>
      <c r="C90" s="135">
        <f>$M$84/2^10</f>
        <v>0</v>
      </c>
      <c r="D90" s="135">
        <f>$M$84/2^9</f>
        <v>0</v>
      </c>
      <c r="E90" s="135">
        <f>$M$84/2^8</f>
        <v>0</v>
      </c>
      <c r="F90" s="135">
        <f>$M$84/2^7</f>
        <v>0</v>
      </c>
      <c r="G90" s="135">
        <f>$M$84/2^6</f>
        <v>0</v>
      </c>
      <c r="H90" s="135">
        <f>$M$84/2^5</f>
        <v>0</v>
      </c>
      <c r="I90" s="135">
        <f>$M$84/2^4</f>
        <v>0</v>
      </c>
      <c r="J90" s="135">
        <f>$M$84/2^3</f>
        <v>0</v>
      </c>
      <c r="K90" s="135">
        <f>$M$84/2^2</f>
        <v>0</v>
      </c>
      <c r="L90" s="135">
        <f>$M$84/2^1</f>
        <v>0</v>
      </c>
      <c r="M90" s="136"/>
      <c r="N90" s="22"/>
      <c r="O90" s="22"/>
      <c r="P90" s="37"/>
      <c r="Q90" s="37"/>
      <c r="R90" s="10"/>
      <c r="S90" s="10"/>
    </row>
    <row r="91" spans="1:19">
      <c r="A91" s="22"/>
      <c r="B91" s="22" t="s">
        <v>217</v>
      </c>
      <c r="C91" s="135">
        <f>$M$84/1.5^10</f>
        <v>0</v>
      </c>
      <c r="D91" s="135">
        <f>$M$84/1.5^9</f>
        <v>0</v>
      </c>
      <c r="E91" s="135">
        <f>$M$84/1.5^8</f>
        <v>0</v>
      </c>
      <c r="F91" s="135">
        <f>$M$84/1.5^7</f>
        <v>0</v>
      </c>
      <c r="G91" s="135">
        <f>$M$84/1.5^6</f>
        <v>0</v>
      </c>
      <c r="H91" s="135">
        <f>$M$84/1.5^5</f>
        <v>0</v>
      </c>
      <c r="I91" s="135">
        <f>$M$84/1.5^4</f>
        <v>0</v>
      </c>
      <c r="J91" s="135">
        <f>$M$84/1.5^3</f>
        <v>0</v>
      </c>
      <c r="K91" s="135">
        <f>$M$84/1.5^2</f>
        <v>0</v>
      </c>
      <c r="L91" s="135">
        <f>$M$84/1.5^1</f>
        <v>0</v>
      </c>
      <c r="M91" s="136"/>
      <c r="N91" s="22"/>
      <c r="O91" s="22"/>
      <c r="P91" s="37"/>
      <c r="Q91" s="37"/>
      <c r="R91" s="10"/>
      <c r="S91" s="10"/>
    </row>
    <row r="92" spans="1:19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37"/>
      <c r="Q92" s="37"/>
      <c r="R92" s="10"/>
      <c r="S92" s="10"/>
    </row>
    <row r="93" spans="1:19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37"/>
      <c r="Q93" s="37"/>
      <c r="R93" s="10"/>
      <c r="S93" s="10"/>
    </row>
    <row r="94" spans="1:19">
      <c r="A94" s="37"/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10"/>
      <c r="S94" s="10"/>
    </row>
    <row r="95" spans="1:19">
      <c r="A95" s="10" t="s">
        <v>152</v>
      </c>
      <c r="B95" s="137" t="e">
        <f>AVERAGE(B64:B67)</f>
        <v>#NUM!</v>
      </c>
      <c r="C95" s="137" t="e">
        <f t="shared" ref="C95:M95" si="39">AVERAGE(C64:C67)</f>
        <v>#NUM!</v>
      </c>
      <c r="D95" s="137" t="e">
        <f t="shared" si="39"/>
        <v>#NUM!</v>
      </c>
      <c r="E95" s="137" t="e">
        <f t="shared" si="39"/>
        <v>#NUM!</v>
      </c>
      <c r="F95" s="137" t="e">
        <f t="shared" si="39"/>
        <v>#NUM!</v>
      </c>
      <c r="G95" s="137" t="e">
        <f t="shared" si="39"/>
        <v>#NUM!</v>
      </c>
      <c r="H95" s="137" t="e">
        <f t="shared" si="39"/>
        <v>#NUM!</v>
      </c>
      <c r="I95" s="137" t="e">
        <f t="shared" si="39"/>
        <v>#NUM!</v>
      </c>
      <c r="J95" s="137" t="e">
        <f t="shared" si="39"/>
        <v>#NUM!</v>
      </c>
      <c r="K95" s="137" t="e">
        <f t="shared" si="39"/>
        <v>#NUM!</v>
      </c>
      <c r="L95" s="137" t="e">
        <f t="shared" si="39"/>
        <v>#NUM!</v>
      </c>
      <c r="M95" s="137" t="e">
        <f t="shared" si="39"/>
        <v>#NUM!</v>
      </c>
      <c r="N95" s="10"/>
      <c r="O95" s="10"/>
      <c r="P95" s="10"/>
      <c r="Q95" s="10"/>
      <c r="R95" s="10"/>
      <c r="S95" s="10"/>
    </row>
    <row r="96" spans="1:19">
      <c r="A96" s="10" t="s">
        <v>151</v>
      </c>
      <c r="B96" s="137" t="e">
        <f>STDEV(B64:B67)</f>
        <v>#NUM!</v>
      </c>
      <c r="C96" s="137" t="e">
        <f t="shared" ref="C96:M96" si="40">STDEV(C64:C67)</f>
        <v>#NUM!</v>
      </c>
      <c r="D96" s="137" t="e">
        <f t="shared" si="40"/>
        <v>#NUM!</v>
      </c>
      <c r="E96" s="137" t="e">
        <f t="shared" si="40"/>
        <v>#NUM!</v>
      </c>
      <c r="F96" s="137" t="e">
        <f t="shared" si="40"/>
        <v>#NUM!</v>
      </c>
      <c r="G96" s="137" t="e">
        <f t="shared" si="40"/>
        <v>#NUM!</v>
      </c>
      <c r="H96" s="137" t="e">
        <f t="shared" si="40"/>
        <v>#NUM!</v>
      </c>
      <c r="I96" s="137" t="e">
        <f t="shared" si="40"/>
        <v>#NUM!</v>
      </c>
      <c r="J96" s="137" t="e">
        <f t="shared" si="40"/>
        <v>#NUM!</v>
      </c>
      <c r="K96" s="137" t="e">
        <f t="shared" si="40"/>
        <v>#NUM!</v>
      </c>
      <c r="L96" s="137" t="e">
        <f t="shared" si="40"/>
        <v>#NUM!</v>
      </c>
      <c r="M96" s="137" t="e">
        <f t="shared" si="40"/>
        <v>#NUM!</v>
      </c>
      <c r="N96" s="10"/>
      <c r="O96" s="10"/>
      <c r="P96" s="10"/>
      <c r="Q96" s="10"/>
      <c r="R96" s="10"/>
      <c r="S96" s="10"/>
    </row>
    <row r="97" spans="1:19">
      <c r="A97" s="10"/>
      <c r="B97" s="138"/>
      <c r="C97" s="138"/>
      <c r="D97" s="138"/>
      <c r="E97" s="138"/>
      <c r="F97" s="138"/>
      <c r="G97" s="138"/>
      <c r="H97" s="138"/>
      <c r="I97" s="138"/>
      <c r="J97" s="138"/>
      <c r="K97" s="138"/>
      <c r="L97" s="138"/>
      <c r="M97" s="138"/>
      <c r="N97" s="10"/>
      <c r="O97" s="10"/>
      <c r="P97" s="10"/>
      <c r="Q97" s="10"/>
      <c r="R97" s="10"/>
      <c r="S97" s="10"/>
    </row>
    <row r="98" spans="1:19">
      <c r="A98" s="10"/>
      <c r="B98" s="138"/>
      <c r="C98" s="138"/>
      <c r="D98" s="138"/>
      <c r="E98" s="138"/>
      <c r="F98" s="138"/>
      <c r="G98" s="138"/>
      <c r="H98" s="138"/>
      <c r="I98" s="138"/>
      <c r="J98" s="138"/>
      <c r="K98" s="138"/>
      <c r="L98" s="138"/>
      <c r="M98" s="138"/>
      <c r="N98" s="10"/>
      <c r="O98" s="10"/>
      <c r="P98" s="10"/>
      <c r="Q98" s="10"/>
      <c r="R98" s="10"/>
      <c r="S98" s="10"/>
    </row>
    <row r="99" spans="1:19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</row>
    <row r="100" spans="1:19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</row>
    <row r="101" spans="1:19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</row>
    <row r="102" spans="1:19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</row>
    <row r="103" spans="1:19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</row>
    <row r="104" spans="1:19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</row>
    <row r="105" spans="1:19">
      <c r="A105" s="10" t="s">
        <v>152</v>
      </c>
      <c r="B105" s="121" t="e">
        <f>AVERAGE(B75:B78)</f>
        <v>#NUM!</v>
      </c>
      <c r="C105" s="121" t="e">
        <f>AVERAGE(C75:C78)</f>
        <v>#NUM!</v>
      </c>
      <c r="D105" s="121" t="e">
        <f>AVERAGE(D75:D78)</f>
        <v>#NUM!</v>
      </c>
      <c r="E105" s="121" t="e">
        <f t="shared" ref="E105:M105" si="41">AVERAGE(E75:E78)</f>
        <v>#NUM!</v>
      </c>
      <c r="F105" s="121" t="e">
        <f t="shared" si="41"/>
        <v>#NUM!</v>
      </c>
      <c r="G105" s="121" t="e">
        <f t="shared" si="41"/>
        <v>#NUM!</v>
      </c>
      <c r="H105" s="121" t="e">
        <f t="shared" si="41"/>
        <v>#NUM!</v>
      </c>
      <c r="I105" s="121" t="e">
        <f t="shared" si="41"/>
        <v>#NUM!</v>
      </c>
      <c r="J105" s="121" t="e">
        <f t="shared" si="41"/>
        <v>#NUM!</v>
      </c>
      <c r="K105" s="121" t="e">
        <f t="shared" si="41"/>
        <v>#NUM!</v>
      </c>
      <c r="L105" s="121" t="e">
        <f t="shared" si="41"/>
        <v>#NUM!</v>
      </c>
      <c r="M105" s="121" t="e">
        <f t="shared" si="41"/>
        <v>#NUM!</v>
      </c>
      <c r="N105" s="10"/>
      <c r="O105" s="10"/>
      <c r="P105" s="10"/>
      <c r="Q105" s="10"/>
      <c r="R105" s="10"/>
      <c r="S105" s="10"/>
    </row>
    <row r="106" spans="1:19">
      <c r="A106" s="10" t="s">
        <v>151</v>
      </c>
      <c r="B106" s="121" t="e">
        <f>STDEV(B75:B78)</f>
        <v>#NUM!</v>
      </c>
      <c r="C106" s="121" t="e">
        <f t="shared" ref="C106:M106" si="42">STDEV(C75:C78)</f>
        <v>#NUM!</v>
      </c>
      <c r="D106" s="121" t="e">
        <f t="shared" si="42"/>
        <v>#NUM!</v>
      </c>
      <c r="E106" s="121" t="e">
        <f t="shared" si="42"/>
        <v>#NUM!</v>
      </c>
      <c r="F106" s="121" t="e">
        <f t="shared" si="42"/>
        <v>#NUM!</v>
      </c>
      <c r="G106" s="121" t="e">
        <f t="shared" si="42"/>
        <v>#NUM!</v>
      </c>
      <c r="H106" s="121" t="e">
        <f t="shared" si="42"/>
        <v>#NUM!</v>
      </c>
      <c r="I106" s="121" t="e">
        <f t="shared" si="42"/>
        <v>#NUM!</v>
      </c>
      <c r="J106" s="121" t="e">
        <f t="shared" si="42"/>
        <v>#NUM!</v>
      </c>
      <c r="K106" s="121" t="e">
        <f t="shared" si="42"/>
        <v>#NUM!</v>
      </c>
      <c r="L106" s="121" t="e">
        <f t="shared" si="42"/>
        <v>#NUM!</v>
      </c>
      <c r="M106" s="121" t="e">
        <f t="shared" si="42"/>
        <v>#NUM!</v>
      </c>
      <c r="N106" s="10"/>
      <c r="O106" s="10"/>
      <c r="P106" s="10"/>
      <c r="Q106" s="10"/>
      <c r="R106" s="10"/>
      <c r="S106" s="10"/>
    </row>
    <row r="107" spans="1:19">
      <c r="A107" s="10"/>
      <c r="B107" s="121"/>
      <c r="C107" s="121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0"/>
      <c r="O107" s="10"/>
      <c r="P107" s="10"/>
      <c r="Q107" s="10"/>
      <c r="R107" s="10"/>
      <c r="S107" s="10"/>
    </row>
    <row r="108" spans="1:19">
      <c r="A108" s="10"/>
      <c r="B108" s="121"/>
      <c r="C108" s="121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0"/>
      <c r="O108" s="10"/>
      <c r="P108" s="10"/>
      <c r="Q108" s="10"/>
      <c r="R108" s="10"/>
      <c r="S108" s="10"/>
    </row>
    <row r="109" spans="1:19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</row>
    <row r="110" spans="1:19">
      <c r="A110" s="10" t="s">
        <v>317</v>
      </c>
      <c r="B110" s="121" t="e">
        <f>B95/$B$95</f>
        <v>#NUM!</v>
      </c>
      <c r="C110" s="121" t="e">
        <f>C95/$B$95</f>
        <v>#NUM!</v>
      </c>
      <c r="D110" s="121" t="e">
        <f t="shared" ref="D110:M110" si="43">D95/$B$95</f>
        <v>#NUM!</v>
      </c>
      <c r="E110" s="121" t="e">
        <f t="shared" si="43"/>
        <v>#NUM!</v>
      </c>
      <c r="F110" s="121" t="e">
        <f t="shared" si="43"/>
        <v>#NUM!</v>
      </c>
      <c r="G110" s="121" t="e">
        <f t="shared" si="43"/>
        <v>#NUM!</v>
      </c>
      <c r="H110" s="121" t="e">
        <f t="shared" si="43"/>
        <v>#NUM!</v>
      </c>
      <c r="I110" s="121" t="e">
        <f t="shared" si="43"/>
        <v>#NUM!</v>
      </c>
      <c r="J110" s="121" t="e">
        <f t="shared" si="43"/>
        <v>#NUM!</v>
      </c>
      <c r="K110" s="121" t="e">
        <f t="shared" si="43"/>
        <v>#NUM!</v>
      </c>
      <c r="L110" s="121" t="e">
        <f t="shared" si="43"/>
        <v>#NUM!</v>
      </c>
      <c r="M110" s="121" t="e">
        <f t="shared" si="43"/>
        <v>#NUM!</v>
      </c>
      <c r="N110" s="10"/>
      <c r="O110" s="10"/>
      <c r="P110" s="10"/>
      <c r="Q110" s="10"/>
      <c r="R110" s="10"/>
      <c r="S110" s="10"/>
    </row>
    <row r="111" spans="1:19">
      <c r="A111" s="10" t="s">
        <v>49</v>
      </c>
      <c r="B111" s="121" t="e">
        <f>B96/$B$95</f>
        <v>#NUM!</v>
      </c>
      <c r="C111" s="121" t="e">
        <f>C96/$B$95</f>
        <v>#NUM!</v>
      </c>
      <c r="D111" s="121" t="e">
        <f>D96/$B$95</f>
        <v>#NUM!</v>
      </c>
      <c r="E111" s="121" t="e">
        <f t="shared" ref="E111:M111" si="44">E96/$B$95</f>
        <v>#NUM!</v>
      </c>
      <c r="F111" s="121" t="e">
        <f t="shared" si="44"/>
        <v>#NUM!</v>
      </c>
      <c r="G111" s="121" t="e">
        <f t="shared" si="44"/>
        <v>#NUM!</v>
      </c>
      <c r="H111" s="121" t="e">
        <f t="shared" si="44"/>
        <v>#NUM!</v>
      </c>
      <c r="I111" s="121" t="e">
        <f t="shared" si="44"/>
        <v>#NUM!</v>
      </c>
      <c r="J111" s="121" t="e">
        <f t="shared" si="44"/>
        <v>#NUM!</v>
      </c>
      <c r="K111" s="121" t="e">
        <f t="shared" si="44"/>
        <v>#NUM!</v>
      </c>
      <c r="L111" s="121" t="e">
        <f t="shared" si="44"/>
        <v>#NUM!</v>
      </c>
      <c r="M111" s="121" t="e">
        <f t="shared" si="44"/>
        <v>#NUM!</v>
      </c>
      <c r="N111" s="10"/>
      <c r="O111" s="10"/>
      <c r="P111" s="10"/>
      <c r="Q111" s="10"/>
      <c r="R111" s="10"/>
      <c r="S111" s="10"/>
    </row>
    <row r="112" spans="1:19">
      <c r="A112" s="10" t="s">
        <v>316</v>
      </c>
      <c r="B112" s="121" t="e">
        <f>B105/$B$105</f>
        <v>#NUM!</v>
      </c>
      <c r="C112" s="121" t="e">
        <f t="shared" ref="C112:M112" si="45">C105/$B$105</f>
        <v>#NUM!</v>
      </c>
      <c r="D112" s="121" t="e">
        <f>D105/$B$105</f>
        <v>#NUM!</v>
      </c>
      <c r="E112" s="121" t="e">
        <f t="shared" si="45"/>
        <v>#NUM!</v>
      </c>
      <c r="F112" s="121" t="e">
        <f t="shared" si="45"/>
        <v>#NUM!</v>
      </c>
      <c r="G112" s="121" t="e">
        <f t="shared" si="45"/>
        <v>#NUM!</v>
      </c>
      <c r="H112" s="121" t="e">
        <f t="shared" si="45"/>
        <v>#NUM!</v>
      </c>
      <c r="I112" s="121" t="e">
        <f t="shared" si="45"/>
        <v>#NUM!</v>
      </c>
      <c r="J112" s="121" t="e">
        <f t="shared" si="45"/>
        <v>#NUM!</v>
      </c>
      <c r="K112" s="121" t="e">
        <f t="shared" si="45"/>
        <v>#NUM!</v>
      </c>
      <c r="L112" s="121" t="e">
        <f t="shared" si="45"/>
        <v>#NUM!</v>
      </c>
      <c r="M112" s="121" t="e">
        <f t="shared" si="45"/>
        <v>#NUM!</v>
      </c>
      <c r="N112" s="10"/>
      <c r="O112" s="10"/>
      <c r="P112" s="10"/>
      <c r="Q112" s="10"/>
      <c r="R112" s="10"/>
      <c r="S112" s="10"/>
    </row>
    <row r="113" spans="1:19">
      <c r="A113" s="10" t="s">
        <v>49</v>
      </c>
      <c r="B113" s="121" t="e">
        <f>B106/$B$105</f>
        <v>#NUM!</v>
      </c>
      <c r="C113" s="121" t="e">
        <f>C106/$B$105</f>
        <v>#NUM!</v>
      </c>
      <c r="D113" s="121" t="e">
        <f>D106/$B$105</f>
        <v>#NUM!</v>
      </c>
      <c r="E113" s="121" t="e">
        <f t="shared" ref="E113:M113" si="46">E106/$B$105</f>
        <v>#NUM!</v>
      </c>
      <c r="F113" s="121" t="e">
        <f t="shared" si="46"/>
        <v>#NUM!</v>
      </c>
      <c r="G113" s="121" t="e">
        <f t="shared" si="46"/>
        <v>#NUM!</v>
      </c>
      <c r="H113" s="121" t="e">
        <f t="shared" si="46"/>
        <v>#NUM!</v>
      </c>
      <c r="I113" s="121" t="e">
        <f t="shared" si="46"/>
        <v>#NUM!</v>
      </c>
      <c r="J113" s="121" t="e">
        <f t="shared" si="46"/>
        <v>#NUM!</v>
      </c>
      <c r="K113" s="121" t="e">
        <f t="shared" si="46"/>
        <v>#NUM!</v>
      </c>
      <c r="L113" s="121" t="e">
        <f t="shared" si="46"/>
        <v>#NUM!</v>
      </c>
      <c r="M113" s="121" t="e">
        <f t="shared" si="46"/>
        <v>#NUM!</v>
      </c>
      <c r="N113" s="10"/>
      <c r="O113" s="10"/>
      <c r="P113" s="10"/>
      <c r="Q113" s="10"/>
      <c r="R113" s="10"/>
      <c r="S113" s="10"/>
    </row>
    <row r="114" spans="1:19">
      <c r="A114" s="10"/>
      <c r="B114" s="121"/>
      <c r="C114" s="121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0"/>
      <c r="O114" s="10"/>
      <c r="P114" s="10"/>
      <c r="Q114" s="10"/>
      <c r="R114" s="10"/>
      <c r="S114" s="10"/>
    </row>
    <row r="115" spans="1:19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</row>
    <row r="116" spans="1:19">
      <c r="A116" s="10" t="s">
        <v>318</v>
      </c>
      <c r="B116" s="138" t="e">
        <f>IF(B110&gt;=0.05,1,0)</f>
        <v>#NUM!</v>
      </c>
      <c r="C116" s="138" t="e">
        <f t="shared" ref="C116:M116" si="47">IF(C110&gt;=0.05,1,0)</f>
        <v>#NUM!</v>
      </c>
      <c r="D116" s="138" t="e">
        <f t="shared" si="47"/>
        <v>#NUM!</v>
      </c>
      <c r="E116" s="138" t="e">
        <f t="shared" si="47"/>
        <v>#NUM!</v>
      </c>
      <c r="F116" s="138" t="e">
        <f t="shared" si="47"/>
        <v>#NUM!</v>
      </c>
      <c r="G116" s="138" t="e">
        <f t="shared" si="47"/>
        <v>#NUM!</v>
      </c>
      <c r="H116" s="138" t="e">
        <f t="shared" si="47"/>
        <v>#NUM!</v>
      </c>
      <c r="I116" s="138" t="e">
        <f t="shared" si="47"/>
        <v>#NUM!</v>
      </c>
      <c r="J116" s="138" t="e">
        <f t="shared" si="47"/>
        <v>#NUM!</v>
      </c>
      <c r="K116" s="138" t="e">
        <f t="shared" si="47"/>
        <v>#NUM!</v>
      </c>
      <c r="L116" s="138" t="e">
        <f t="shared" si="47"/>
        <v>#NUM!</v>
      </c>
      <c r="M116" s="138" t="e">
        <f t="shared" si="47"/>
        <v>#NUM!</v>
      </c>
      <c r="N116" s="10"/>
      <c r="O116" s="10"/>
      <c r="P116" s="10"/>
      <c r="Q116" s="10"/>
      <c r="R116" s="10"/>
      <c r="S116" s="10"/>
    </row>
    <row r="117" spans="1:19">
      <c r="A117" s="10"/>
      <c r="B117" s="139" t="e">
        <f>IF(B116=1,IF(Graph!K37&gt;=1.4,"Positive","Negative"),"")</f>
        <v>#NUM!</v>
      </c>
      <c r="C117" s="139" t="e">
        <f>IF(C116=1,IF(Graph!L37&gt;=1.4,"Positive","Negative"),"")</f>
        <v>#NUM!</v>
      </c>
      <c r="D117" s="139" t="e">
        <f>IF(D116=1,IF(Graph!M37&gt;=1.4,"Positive","Negative"),"")</f>
        <v>#NUM!</v>
      </c>
      <c r="E117" s="139" t="e">
        <f>IF(E116=1,IF(Graph!N37&gt;=1.4,"Positive","Negative"),"")</f>
        <v>#NUM!</v>
      </c>
      <c r="F117" s="139" t="e">
        <f>IF(F116=1,IF(Graph!O37&gt;=1.4,"Positive","Negative"),"")</f>
        <v>#NUM!</v>
      </c>
      <c r="G117" s="139" t="e">
        <f>IF(G116=1,IF(Graph!P37&gt;=1.4,"Positive","Negative"),"")</f>
        <v>#NUM!</v>
      </c>
      <c r="H117" s="139" t="e">
        <f>IF(H116=1,IF(Graph!Q37&gt;=1.4,"Positive","Negative"),"")</f>
        <v>#NUM!</v>
      </c>
      <c r="I117" s="139" t="e">
        <f>IF(I116=1,IF(Graph!R37&gt;=1.4,"Positive","Negative"),"")</f>
        <v>#NUM!</v>
      </c>
      <c r="J117" s="139" t="e">
        <f>IF(J116=1,IF(Graph!S37&gt;=1.4,"Positive","Negative"),"")</f>
        <v>#NUM!</v>
      </c>
      <c r="K117" s="139" t="e">
        <f>IF(K116=1,IF(Graph!T37&gt;=1.4,"Positive","Negative"),"")</f>
        <v>#NUM!</v>
      </c>
      <c r="L117" s="139" t="e">
        <f>IF(L116=1,IF(Graph!U37&gt;=1.4,"Positive","Negative"),"")</f>
        <v>#NUM!</v>
      </c>
      <c r="M117" s="139" t="e">
        <f>IF(M116=1,IF(Graph!V37&gt;=1.4,"Positive","Negative"),"")</f>
        <v>#NUM!</v>
      </c>
      <c r="N117" s="10"/>
      <c r="O117" s="10"/>
      <c r="P117" s="10"/>
      <c r="Q117" s="10"/>
      <c r="R117" s="10"/>
      <c r="S117" s="10"/>
    </row>
    <row r="118" spans="1:19">
      <c r="A118" s="10"/>
      <c r="B118" s="139" t="e">
        <f>IF(B117="Positive",1,0)</f>
        <v>#NUM!</v>
      </c>
      <c r="C118" s="139" t="e">
        <f t="shared" ref="C118:M118" si="48">IF(C117="Positive",1,0)</f>
        <v>#NUM!</v>
      </c>
      <c r="D118" s="139" t="e">
        <f t="shared" si="48"/>
        <v>#NUM!</v>
      </c>
      <c r="E118" s="139" t="e">
        <f t="shared" si="48"/>
        <v>#NUM!</v>
      </c>
      <c r="F118" s="139" t="e">
        <f t="shared" si="48"/>
        <v>#NUM!</v>
      </c>
      <c r="G118" s="139" t="e">
        <f t="shared" si="48"/>
        <v>#NUM!</v>
      </c>
      <c r="H118" s="139" t="e">
        <f t="shared" si="48"/>
        <v>#NUM!</v>
      </c>
      <c r="I118" s="139" t="e">
        <f t="shared" si="48"/>
        <v>#NUM!</v>
      </c>
      <c r="J118" s="139" t="e">
        <f t="shared" si="48"/>
        <v>#NUM!</v>
      </c>
      <c r="K118" s="139" t="e">
        <f t="shared" si="48"/>
        <v>#NUM!</v>
      </c>
      <c r="L118" s="139" t="e">
        <f t="shared" si="48"/>
        <v>#NUM!</v>
      </c>
      <c r="M118" s="139" t="e">
        <f t="shared" si="48"/>
        <v>#NUM!</v>
      </c>
      <c r="N118" s="10"/>
      <c r="O118" s="10"/>
      <c r="P118" s="10" t="e">
        <f>IF(B118+C118+D118+E118+F118+G118+H118+I118+J118+K118+L118+M118=0,"Negative","Positive")</f>
        <v>#NUM!</v>
      </c>
      <c r="Q118" s="10"/>
      <c r="R118" s="10"/>
      <c r="S118" s="10"/>
    </row>
    <row r="119" spans="1:19">
      <c r="A119" s="10"/>
      <c r="B119" s="139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0"/>
      <c r="O119" s="10"/>
      <c r="P119" s="10"/>
      <c r="Q119" s="10"/>
      <c r="R119" s="10"/>
      <c r="S119" s="10"/>
    </row>
    <row r="120" spans="1:19">
      <c r="A120" s="10"/>
      <c r="B120" s="10" t="e">
        <f t="shared" ref="B120:M120" si="49">IF(AND(B110&gt;=0.05,B112&gt;=1.4),1,0)</f>
        <v>#NUM!</v>
      </c>
      <c r="C120" s="10" t="e">
        <f t="shared" si="49"/>
        <v>#NUM!</v>
      </c>
      <c r="D120" s="10" t="e">
        <f t="shared" si="49"/>
        <v>#NUM!</v>
      </c>
      <c r="E120" s="10" t="e">
        <f t="shared" si="49"/>
        <v>#NUM!</v>
      </c>
      <c r="F120" s="10" t="e">
        <f t="shared" si="49"/>
        <v>#NUM!</v>
      </c>
      <c r="G120" s="10" t="e">
        <f t="shared" si="49"/>
        <v>#NUM!</v>
      </c>
      <c r="H120" s="10" t="e">
        <f t="shared" si="49"/>
        <v>#NUM!</v>
      </c>
      <c r="I120" s="10" t="e">
        <f t="shared" si="49"/>
        <v>#NUM!</v>
      </c>
      <c r="J120" s="10" t="e">
        <f t="shared" si="49"/>
        <v>#NUM!</v>
      </c>
      <c r="K120" s="10" t="e">
        <f t="shared" si="49"/>
        <v>#NUM!</v>
      </c>
      <c r="L120" s="10" t="e">
        <f t="shared" si="49"/>
        <v>#NUM!</v>
      </c>
      <c r="M120" s="10" t="e">
        <f t="shared" si="49"/>
        <v>#NUM!</v>
      </c>
      <c r="N120" s="10" t="e">
        <f>SUM(B120:M120)</f>
        <v>#NUM!</v>
      </c>
      <c r="O120" s="10"/>
      <c r="P120" s="10"/>
      <c r="Q120" s="10"/>
      <c r="R120" s="10"/>
      <c r="S120" s="10"/>
    </row>
    <row r="121" spans="1:19" ht="28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40" t="e">
        <f>IF(N120&gt;=1,"Positive","Negative")</f>
        <v>#NUM!</v>
      </c>
      <c r="O121" s="10"/>
      <c r="P121" s="10"/>
      <c r="Q121" s="10"/>
      <c r="R121" s="10"/>
      <c r="S121" s="10"/>
    </row>
    <row r="122" spans="1:19" ht="12" customHeight="1">
      <c r="A122" s="37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141"/>
      <c r="O122" s="141"/>
      <c r="P122" s="10"/>
      <c r="Q122" s="10"/>
      <c r="R122" s="10"/>
      <c r="S122" s="10"/>
    </row>
    <row r="123" spans="1:19" ht="12" customHeight="1">
      <c r="A123" s="37"/>
      <c r="B123" s="22" t="e">
        <f>IF((B110-0.05)&lt;=0,-1,1)</f>
        <v>#NUM!</v>
      </c>
      <c r="C123" s="22" t="e">
        <f t="shared" ref="C123:M123" si="50">IF((C110-0.05&lt;=0),-1,1)</f>
        <v>#NUM!</v>
      </c>
      <c r="D123" s="22" t="e">
        <f t="shared" si="50"/>
        <v>#NUM!</v>
      </c>
      <c r="E123" s="22" t="e">
        <f t="shared" si="50"/>
        <v>#NUM!</v>
      </c>
      <c r="F123" s="22" t="e">
        <f t="shared" si="50"/>
        <v>#NUM!</v>
      </c>
      <c r="G123" s="22" t="e">
        <f t="shared" si="50"/>
        <v>#NUM!</v>
      </c>
      <c r="H123" s="22" t="e">
        <f t="shared" si="50"/>
        <v>#NUM!</v>
      </c>
      <c r="I123" s="22" t="e">
        <f t="shared" si="50"/>
        <v>#NUM!</v>
      </c>
      <c r="J123" s="22" t="e">
        <f t="shared" si="50"/>
        <v>#NUM!</v>
      </c>
      <c r="K123" s="22" t="e">
        <f t="shared" si="50"/>
        <v>#NUM!</v>
      </c>
      <c r="L123" s="22" t="e">
        <f t="shared" si="50"/>
        <v>#NUM!</v>
      </c>
      <c r="M123" s="22" t="e">
        <f t="shared" si="50"/>
        <v>#NUM!</v>
      </c>
      <c r="N123" s="22"/>
      <c r="O123" s="141"/>
      <c r="P123" s="10"/>
      <c r="Q123" s="10"/>
      <c r="R123" s="10"/>
      <c r="S123" s="10"/>
    </row>
    <row r="124" spans="1:19">
      <c r="A124" s="37"/>
      <c r="B124" s="22"/>
      <c r="C124" s="22" t="e">
        <f>B123</f>
        <v>#NUM!</v>
      </c>
      <c r="D124" s="22" t="e">
        <f t="shared" ref="D124:M124" si="51">C123</f>
        <v>#NUM!</v>
      </c>
      <c r="E124" s="22" t="e">
        <f t="shared" si="51"/>
        <v>#NUM!</v>
      </c>
      <c r="F124" s="22" t="e">
        <f t="shared" si="51"/>
        <v>#NUM!</v>
      </c>
      <c r="G124" s="22" t="e">
        <f t="shared" si="51"/>
        <v>#NUM!</v>
      </c>
      <c r="H124" s="22" t="e">
        <f t="shared" si="51"/>
        <v>#NUM!</v>
      </c>
      <c r="I124" s="22" t="e">
        <f t="shared" si="51"/>
        <v>#NUM!</v>
      </c>
      <c r="J124" s="22" t="e">
        <f t="shared" si="51"/>
        <v>#NUM!</v>
      </c>
      <c r="K124" s="22" t="e">
        <f t="shared" si="51"/>
        <v>#NUM!</v>
      </c>
      <c r="L124" s="22" t="e">
        <f t="shared" si="51"/>
        <v>#NUM!</v>
      </c>
      <c r="M124" s="22" t="e">
        <f t="shared" si="51"/>
        <v>#NUM!</v>
      </c>
      <c r="N124" s="22"/>
      <c r="O124" s="22"/>
      <c r="P124" s="10"/>
      <c r="Q124" s="10"/>
      <c r="R124" s="10"/>
      <c r="S124" s="10"/>
    </row>
    <row r="125" spans="1:19">
      <c r="A125" s="37"/>
      <c r="B125" s="22"/>
      <c r="C125" s="22" t="e">
        <f>SUM(C123:C124)</f>
        <v>#NUM!</v>
      </c>
      <c r="D125" s="22" t="e">
        <f t="shared" ref="D125:M125" si="52">SUM(D123:D124)</f>
        <v>#NUM!</v>
      </c>
      <c r="E125" s="22" t="e">
        <f t="shared" si="52"/>
        <v>#NUM!</v>
      </c>
      <c r="F125" s="22" t="e">
        <f t="shared" si="52"/>
        <v>#NUM!</v>
      </c>
      <c r="G125" s="22" t="e">
        <f t="shared" si="52"/>
        <v>#NUM!</v>
      </c>
      <c r="H125" s="22" t="e">
        <f t="shared" si="52"/>
        <v>#NUM!</v>
      </c>
      <c r="I125" s="22" t="e">
        <f t="shared" si="52"/>
        <v>#NUM!</v>
      </c>
      <c r="J125" s="22" t="e">
        <f t="shared" si="52"/>
        <v>#NUM!</v>
      </c>
      <c r="K125" s="22" t="e">
        <f t="shared" si="52"/>
        <v>#NUM!</v>
      </c>
      <c r="L125" s="22" t="e">
        <f t="shared" si="52"/>
        <v>#NUM!</v>
      </c>
      <c r="M125" s="22" t="e">
        <f t="shared" si="52"/>
        <v>#NUM!</v>
      </c>
      <c r="N125" s="22"/>
      <c r="O125" s="22"/>
      <c r="P125" s="10"/>
      <c r="Q125" s="10"/>
      <c r="R125" s="10"/>
      <c r="S125" s="10"/>
    </row>
    <row r="126" spans="1:19">
      <c r="A126" s="37"/>
      <c r="B126" s="22"/>
      <c r="C126" s="22" t="e">
        <f t="shared" ref="C126:L126" si="53">IF(C125=0,D84,0)</f>
        <v>#NUM!</v>
      </c>
      <c r="D126" s="22" t="e">
        <f t="shared" si="53"/>
        <v>#NUM!</v>
      </c>
      <c r="E126" s="22" t="e">
        <f t="shared" si="53"/>
        <v>#NUM!</v>
      </c>
      <c r="F126" s="22" t="e">
        <f t="shared" si="53"/>
        <v>#NUM!</v>
      </c>
      <c r="G126" s="22" t="e">
        <f t="shared" si="53"/>
        <v>#NUM!</v>
      </c>
      <c r="H126" s="22" t="e">
        <f t="shared" si="53"/>
        <v>#NUM!</v>
      </c>
      <c r="I126" s="22" t="e">
        <f t="shared" si="53"/>
        <v>#NUM!</v>
      </c>
      <c r="J126" s="22" t="e">
        <f t="shared" si="53"/>
        <v>#NUM!</v>
      </c>
      <c r="K126" s="22" t="e">
        <f t="shared" si="53"/>
        <v>#NUM!</v>
      </c>
      <c r="L126" s="22" t="e">
        <f t="shared" si="53"/>
        <v>#NUM!</v>
      </c>
      <c r="M126" s="22" t="e">
        <f>IF(M125=0,M84,0)</f>
        <v>#NUM!</v>
      </c>
      <c r="N126" s="22"/>
      <c r="O126" s="22"/>
      <c r="P126" s="10"/>
      <c r="Q126" s="10"/>
      <c r="R126" s="10"/>
      <c r="S126" s="10"/>
    </row>
    <row r="127" spans="1:19">
      <c r="A127" s="37"/>
      <c r="B127" s="22"/>
      <c r="C127" s="22" t="e">
        <f>IF(C126&lt;&gt;0,C126,"")</f>
        <v>#NUM!</v>
      </c>
      <c r="D127" s="22" t="e">
        <f t="shared" ref="D127:M127" si="54">IF(D126&lt;&gt;0,D126,"")</f>
        <v>#NUM!</v>
      </c>
      <c r="E127" s="22" t="e">
        <f t="shared" si="54"/>
        <v>#NUM!</v>
      </c>
      <c r="F127" s="22" t="e">
        <f t="shared" si="54"/>
        <v>#NUM!</v>
      </c>
      <c r="G127" s="22" t="e">
        <f t="shared" si="54"/>
        <v>#NUM!</v>
      </c>
      <c r="H127" s="22" t="e">
        <f t="shared" si="54"/>
        <v>#NUM!</v>
      </c>
      <c r="I127" s="22" t="e">
        <f t="shared" si="54"/>
        <v>#NUM!</v>
      </c>
      <c r="J127" s="22" t="e">
        <f t="shared" si="54"/>
        <v>#NUM!</v>
      </c>
      <c r="K127" s="22" t="e">
        <f t="shared" si="54"/>
        <v>#NUM!</v>
      </c>
      <c r="L127" s="22" t="e">
        <f t="shared" si="54"/>
        <v>#NUM!</v>
      </c>
      <c r="M127" s="22" t="e">
        <f t="shared" si="54"/>
        <v>#NUM!</v>
      </c>
      <c r="N127" s="22" t="e">
        <f>MIN(C127:M127)</f>
        <v>#NUM!</v>
      </c>
      <c r="O127" s="22"/>
      <c r="P127" s="10"/>
      <c r="Q127" s="10"/>
      <c r="R127" s="10"/>
      <c r="S127" s="10"/>
    </row>
    <row r="128" spans="1:19">
      <c r="A128" s="37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 t="e">
        <f>IF(N127=0,M84,N127)</f>
        <v>#NUM!</v>
      </c>
      <c r="P128" s="10"/>
      <c r="Q128" s="10"/>
      <c r="R128" s="10"/>
      <c r="S128" s="10"/>
    </row>
    <row r="129" spans="1:19">
      <c r="A129" s="37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10"/>
      <c r="Q129" s="10"/>
      <c r="R129" s="10"/>
      <c r="S129" s="10"/>
    </row>
    <row r="130" spans="1:19">
      <c r="A130" s="37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10"/>
      <c r="Q130" s="10"/>
      <c r="R130" s="10"/>
      <c r="S130" s="10"/>
    </row>
    <row r="131" spans="1:19">
      <c r="A131" s="37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10"/>
      <c r="Q131" s="10"/>
      <c r="R131" s="10"/>
      <c r="S131" s="10"/>
    </row>
    <row r="132" spans="1:19">
      <c r="A132" s="37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10"/>
      <c r="Q132" s="10"/>
      <c r="R132" s="10"/>
      <c r="S132" s="10"/>
    </row>
    <row r="133" spans="1:19">
      <c r="A133" s="37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10"/>
      <c r="Q133" s="10"/>
      <c r="R133" s="10"/>
      <c r="S133" s="10"/>
    </row>
    <row r="134" spans="1:19">
      <c r="A134" s="37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10"/>
      <c r="Q134" s="10"/>
      <c r="R134" s="10"/>
      <c r="S134" s="10"/>
    </row>
    <row r="135" spans="1:19">
      <c r="A135" s="37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10"/>
      <c r="Q135" s="10"/>
      <c r="R135" s="10"/>
      <c r="S135" s="10"/>
    </row>
    <row r="136" spans="1:19">
      <c r="A136" s="37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10"/>
      <c r="Q136" s="10"/>
      <c r="R136" s="10"/>
      <c r="S136" s="10"/>
    </row>
    <row r="137" spans="1:19">
      <c r="A137" s="37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10"/>
      <c r="Q137" s="10"/>
      <c r="R137" s="10"/>
      <c r="S137" s="10"/>
    </row>
    <row r="138" spans="1:19">
      <c r="A138" s="37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10"/>
      <c r="Q138" s="10"/>
      <c r="R138" s="10"/>
      <c r="S138" s="10"/>
    </row>
    <row r="139" spans="1:19">
      <c r="A139" s="37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10"/>
      <c r="Q139" s="10"/>
      <c r="R139" s="10"/>
      <c r="S139" s="10"/>
    </row>
    <row r="140" spans="1:19">
      <c r="A140" s="37"/>
      <c r="B140" s="22">
        <v>0.05</v>
      </c>
      <c r="C140" s="22">
        <v>0.05</v>
      </c>
      <c r="D140" s="22">
        <v>0.05</v>
      </c>
      <c r="E140" s="22">
        <v>0.05</v>
      </c>
      <c r="F140" s="22">
        <v>0.05</v>
      </c>
      <c r="G140" s="22">
        <v>0.05</v>
      </c>
      <c r="H140" s="22">
        <v>0.05</v>
      </c>
      <c r="I140" s="22">
        <v>0.05</v>
      </c>
      <c r="J140" s="22">
        <v>0.05</v>
      </c>
      <c r="K140" s="22">
        <v>0.05</v>
      </c>
      <c r="L140" s="22">
        <v>0.05</v>
      </c>
      <c r="M140" s="22">
        <v>0.05</v>
      </c>
      <c r="N140" s="22"/>
      <c r="O140" s="22"/>
      <c r="P140" s="10"/>
      <c r="Q140" s="10"/>
      <c r="R140" s="10"/>
      <c r="S140" s="10"/>
    </row>
    <row r="141" spans="1:19">
      <c r="A141" s="37"/>
      <c r="B141" s="22">
        <v>1</v>
      </c>
      <c r="C141" s="22">
        <v>1</v>
      </c>
      <c r="D141" s="22">
        <v>1</v>
      </c>
      <c r="E141" s="22">
        <v>1</v>
      </c>
      <c r="F141" s="22">
        <v>1</v>
      </c>
      <c r="G141" s="22">
        <v>1</v>
      </c>
      <c r="H141" s="22">
        <v>1</v>
      </c>
      <c r="I141" s="22">
        <v>1</v>
      </c>
      <c r="J141" s="22">
        <v>1</v>
      </c>
      <c r="K141" s="22">
        <v>1</v>
      </c>
      <c r="L141" s="22">
        <v>1</v>
      </c>
      <c r="M141" s="22">
        <v>1</v>
      </c>
      <c r="N141" s="22"/>
      <c r="O141" s="22"/>
      <c r="P141" s="10"/>
      <c r="Q141" s="10"/>
      <c r="R141" s="10"/>
      <c r="S141" s="10"/>
    </row>
    <row r="142" spans="1:19">
      <c r="A142" s="37"/>
      <c r="B142" s="22">
        <v>1.4</v>
      </c>
      <c r="C142" s="22">
        <v>1.4</v>
      </c>
      <c r="D142" s="22">
        <v>1.4</v>
      </c>
      <c r="E142" s="22">
        <v>1.4</v>
      </c>
      <c r="F142" s="22">
        <v>1.4</v>
      </c>
      <c r="G142" s="22">
        <v>1.4</v>
      </c>
      <c r="H142" s="22">
        <v>1.4</v>
      </c>
      <c r="I142" s="22">
        <v>1.4</v>
      </c>
      <c r="J142" s="22">
        <v>1.4</v>
      </c>
      <c r="K142" s="22">
        <v>1.4</v>
      </c>
      <c r="L142" s="22">
        <v>1.4</v>
      </c>
      <c r="M142" s="22">
        <v>1.4</v>
      </c>
      <c r="N142" s="22"/>
      <c r="O142" s="22"/>
      <c r="P142" s="10"/>
      <c r="Q142" s="10"/>
      <c r="R142" s="10"/>
      <c r="S142" s="10"/>
    </row>
    <row r="143" spans="1:19">
      <c r="A143" s="37"/>
      <c r="B143" s="22">
        <v>1</v>
      </c>
      <c r="C143" s="22">
        <v>1</v>
      </c>
      <c r="D143" s="22">
        <v>1</v>
      </c>
      <c r="E143" s="22">
        <v>1</v>
      </c>
      <c r="F143" s="22">
        <v>1</v>
      </c>
      <c r="G143" s="22">
        <v>1</v>
      </c>
      <c r="H143" s="22">
        <v>1</v>
      </c>
      <c r="I143" s="22">
        <v>1</v>
      </c>
      <c r="J143" s="22">
        <v>1</v>
      </c>
      <c r="K143" s="22">
        <v>1</v>
      </c>
      <c r="L143" s="22">
        <v>1</v>
      </c>
      <c r="M143" s="22">
        <v>1</v>
      </c>
      <c r="N143" s="22"/>
      <c r="O143" s="22"/>
      <c r="P143" s="10"/>
      <c r="Q143" s="10"/>
      <c r="R143" s="10"/>
      <c r="S143" s="10"/>
    </row>
    <row r="144" spans="1:19">
      <c r="A144" s="37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10"/>
      <c r="Q144" s="10"/>
      <c r="R144" s="10"/>
      <c r="S144" s="10"/>
    </row>
    <row r="145" spans="1:19">
      <c r="A145" s="37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10"/>
      <c r="Q145" s="10"/>
      <c r="R145" s="10"/>
      <c r="S145" s="10"/>
    </row>
    <row r="146" spans="1:19">
      <c r="A146" s="37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10"/>
      <c r="Q146" s="10"/>
      <c r="R146" s="10"/>
      <c r="S146" s="10"/>
    </row>
    <row r="147" spans="1:19">
      <c r="A147" s="41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</row>
    <row r="148" spans="1:19"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</row>
  </sheetData>
  <protectedRanges>
    <protectedRange sqref="B84" name="範囲1"/>
    <protectedRange sqref="M84" name="範囲2"/>
  </protectedRanges>
  <phoneticPr fontId="1"/>
  <conditionalFormatting sqref="O122:O123 N121:N122">
    <cfRule type="containsText" dxfId="17" priority="1" stopIfTrue="1" operator="containsText" text="Negative">
      <formula>NOT(ISERROR(SEARCH("Negative",N121)))</formula>
    </cfRule>
    <cfRule type="containsText" dxfId="16" priority="2" stopIfTrue="1" operator="containsText" text="Positive">
      <formula>NOT(ISERROR(SEARCH("Positive",N121)))</formula>
    </cfRule>
    <cfRule type="containsText" dxfId="15" priority="3" stopIfTrue="1" operator="containsText" text="Negative">
      <formula>NOT(ISERROR(SEARCH("Negative",N121)))</formula>
    </cfRule>
    <cfRule type="containsText" dxfId="14" priority="4" stopIfTrue="1" operator="containsText" text="Positive">
      <formula>NOT(ISERROR(SEARCH("Positive",N121)))</formula>
    </cfRule>
  </conditionalFormatting>
  <pageMargins left="0.75" right="0.75" top="1" bottom="1" header="0.51200000000000001" footer="0.51200000000000001"/>
  <pageSetup paperSize="9" scale="57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AB56"/>
  <sheetViews>
    <sheetView showGridLines="0" topLeftCell="I1" zoomScaleNormal="100" zoomScalePageLayoutView="107" workbookViewId="0">
      <selection activeCell="AE45" sqref="AE45"/>
    </sheetView>
  </sheetViews>
  <sheetFormatPr baseColWidth="10" defaultColWidth="8.796875" defaultRowHeight="14"/>
  <cols>
    <col min="1" max="8" width="0" hidden="1" customWidth="1"/>
  </cols>
  <sheetData>
    <row r="1" spans="9:28"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</row>
    <row r="2" spans="9:28"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</row>
    <row r="3" spans="9:28"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</row>
    <row r="4" spans="9:28"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</row>
    <row r="5" spans="9:28"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</row>
    <row r="6" spans="9:28"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9:28"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</row>
    <row r="8" spans="9:28"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9:28"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9:28"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9:28"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9:28"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9:28"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9:28"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9:28"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9:28"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9:28"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9:28"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9:28"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9:28"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9:28"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9:28"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9:28"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9:28"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9:28"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9:28"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9:28"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9:28"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9:28"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9:28"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9:28"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9:28"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2:28"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2:28"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2:28"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2:28">
      <c r="I36" s="10"/>
      <c r="J36" s="142"/>
      <c r="K36" s="143" t="s">
        <v>194</v>
      </c>
      <c r="L36" s="143" t="s">
        <v>195</v>
      </c>
      <c r="M36" s="143" t="s">
        <v>170</v>
      </c>
      <c r="N36" s="143" t="s">
        <v>169</v>
      </c>
      <c r="O36" s="143" t="s">
        <v>168</v>
      </c>
      <c r="P36" s="143" t="s">
        <v>167</v>
      </c>
      <c r="Q36" s="143" t="s">
        <v>166</v>
      </c>
      <c r="R36" s="143" t="s">
        <v>165</v>
      </c>
      <c r="S36" s="143" t="s">
        <v>164</v>
      </c>
      <c r="T36" s="143" t="s">
        <v>163</v>
      </c>
      <c r="U36" s="143" t="s">
        <v>162</v>
      </c>
      <c r="V36" s="143" t="s">
        <v>161</v>
      </c>
      <c r="W36" s="10"/>
      <c r="X36" s="10"/>
      <c r="Y36" s="10"/>
      <c r="Z36" s="10"/>
      <c r="AA36" s="10"/>
      <c r="AB36" s="10"/>
    </row>
    <row r="37" spans="2:28">
      <c r="B37" s="305" t="s">
        <v>102</v>
      </c>
      <c r="C37" s="305" t="e">
        <f>IF(ResultFormat!$N$120&gt;=1,"Positive","Negative")</f>
        <v>#NUM!</v>
      </c>
      <c r="D37" s="305"/>
      <c r="E37" s="29"/>
      <c r="F37" s="29"/>
      <c r="G37" s="306">
        <f>FaceSheet!E17</f>
        <v>0</v>
      </c>
      <c r="H37" s="306"/>
      <c r="I37" s="10"/>
      <c r="J37" s="10" t="s">
        <v>324</v>
      </c>
      <c r="K37" s="10" t="e">
        <f>'95%'!F5</f>
        <v>#NUM!</v>
      </c>
      <c r="L37" s="10" t="e">
        <f>'95%'!F9</f>
        <v>#NUM!</v>
      </c>
      <c r="M37" s="10" t="e">
        <f>'95%'!F13</f>
        <v>#NUM!</v>
      </c>
      <c r="N37" s="10" t="e">
        <f>'95%'!F17</f>
        <v>#NUM!</v>
      </c>
      <c r="O37" s="10" t="e">
        <f>'95%'!F21</f>
        <v>#NUM!</v>
      </c>
      <c r="P37" s="10" t="e">
        <f>'95%'!F25</f>
        <v>#NUM!</v>
      </c>
      <c r="Q37" s="10" t="e">
        <f>'95%'!F29</f>
        <v>#NUM!</v>
      </c>
      <c r="R37" s="10" t="e">
        <f>'95%'!F33</f>
        <v>#NUM!</v>
      </c>
      <c r="S37" s="10" t="e">
        <f>'95%'!F37</f>
        <v>#NUM!</v>
      </c>
      <c r="T37" s="10" t="e">
        <f>'95%'!F41</f>
        <v>#NUM!</v>
      </c>
      <c r="U37" s="10" t="e">
        <f>'95%'!F45</f>
        <v>#NUM!</v>
      </c>
      <c r="V37" s="10" t="e">
        <f>'95%'!F49</f>
        <v>#NUM!</v>
      </c>
      <c r="W37" s="10"/>
      <c r="X37" s="10"/>
      <c r="Y37" s="10"/>
      <c r="Z37" s="10"/>
      <c r="AA37" s="10"/>
      <c r="AB37" s="10"/>
    </row>
    <row r="38" spans="2:28">
      <c r="B38" s="305"/>
      <c r="C38" s="305"/>
      <c r="D38" s="305"/>
      <c r="E38" s="29"/>
      <c r="F38" s="29"/>
      <c r="G38" s="306"/>
      <c r="H38" s="306"/>
      <c r="I38" s="10"/>
      <c r="J38" s="10" t="s">
        <v>203</v>
      </c>
      <c r="K38" s="10"/>
      <c r="L38" s="10" t="e">
        <f>'95%'!F10</f>
        <v>#NUM!</v>
      </c>
      <c r="M38" s="10" t="e">
        <f>'95%'!F14</f>
        <v>#NUM!</v>
      </c>
      <c r="N38" s="10" t="e">
        <f>'95%'!F18</f>
        <v>#NUM!</v>
      </c>
      <c r="O38" s="10" t="e">
        <f>'95%'!F22</f>
        <v>#NUM!</v>
      </c>
      <c r="P38" s="10" t="e">
        <f>'95%'!F26</f>
        <v>#NUM!</v>
      </c>
      <c r="Q38" s="10" t="e">
        <f>'95%'!F30</f>
        <v>#NUM!</v>
      </c>
      <c r="R38" s="10" t="e">
        <f>'95%'!F34</f>
        <v>#NUM!</v>
      </c>
      <c r="S38" s="10" t="e">
        <f>'95%'!F38</f>
        <v>#NUM!</v>
      </c>
      <c r="T38" s="10" t="e">
        <f>'95%'!F42</f>
        <v>#NUM!</v>
      </c>
      <c r="U38" s="10" t="e">
        <f>'95%'!F46</f>
        <v>#NUM!</v>
      </c>
      <c r="V38" s="10" t="e">
        <f>'95%'!F50</f>
        <v>#NUM!</v>
      </c>
      <c r="W38" s="10"/>
      <c r="X38" s="10"/>
      <c r="Y38" s="10"/>
      <c r="Z38" s="10"/>
      <c r="AA38" s="10"/>
      <c r="AB38" s="10"/>
    </row>
    <row r="39" spans="2:28">
      <c r="I39" s="10"/>
      <c r="J39" s="10" t="s">
        <v>204</v>
      </c>
      <c r="K39" s="10"/>
      <c r="L39" s="10" t="e">
        <f>'95%'!F11</f>
        <v>#NUM!</v>
      </c>
      <c r="M39" s="10" t="e">
        <f>'95%'!F15</f>
        <v>#NUM!</v>
      </c>
      <c r="N39" s="10" t="e">
        <f>'95%'!F19</f>
        <v>#NUM!</v>
      </c>
      <c r="O39" s="10" t="e">
        <f>'95%'!F23</f>
        <v>#NUM!</v>
      </c>
      <c r="P39" s="10" t="e">
        <f>'95%'!F27</f>
        <v>#NUM!</v>
      </c>
      <c r="Q39" s="10" t="e">
        <f>'95%'!F31</f>
        <v>#NUM!</v>
      </c>
      <c r="R39" s="10" t="e">
        <f>'95%'!F35</f>
        <v>#NUM!</v>
      </c>
      <c r="S39" s="10" t="e">
        <f>'95%'!F39</f>
        <v>#NUM!</v>
      </c>
      <c r="T39" s="10" t="e">
        <f>'95%'!F43</f>
        <v>#NUM!</v>
      </c>
      <c r="U39" s="10" t="e">
        <f>'95%'!F47</f>
        <v>#NUM!</v>
      </c>
      <c r="V39" s="10" t="e">
        <f>'95%'!F51</f>
        <v>#NUM!</v>
      </c>
      <c r="W39" s="10"/>
      <c r="X39" s="10"/>
      <c r="Y39" s="10"/>
      <c r="Z39" s="10"/>
      <c r="AA39" s="10"/>
      <c r="AB39" s="10"/>
    </row>
    <row r="40" spans="2:28"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2:28"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44" t="s">
        <v>196</v>
      </c>
      <c r="X41" s="10"/>
      <c r="Y41" s="10"/>
      <c r="Z41" s="10"/>
      <c r="AA41" s="10"/>
      <c r="AB41" s="10"/>
    </row>
    <row r="42" spans="2:28" hidden="1">
      <c r="I42" s="10"/>
      <c r="J42" s="10"/>
      <c r="K42" s="145" t="s">
        <v>325</v>
      </c>
      <c r="L42" s="146" t="e">
        <f>IF(L37&gt;=1.4,1,0)</f>
        <v>#NUM!</v>
      </c>
      <c r="M42" s="146" t="e">
        <f t="shared" ref="M42:V42" si="0">IF(M37&gt;=1.4,1,0)</f>
        <v>#NUM!</v>
      </c>
      <c r="N42" s="146" t="e">
        <f t="shared" si="0"/>
        <v>#NUM!</v>
      </c>
      <c r="O42" s="146" t="e">
        <f t="shared" si="0"/>
        <v>#NUM!</v>
      </c>
      <c r="P42" s="146" t="e">
        <f t="shared" si="0"/>
        <v>#NUM!</v>
      </c>
      <c r="Q42" s="146" t="e">
        <f t="shared" si="0"/>
        <v>#NUM!</v>
      </c>
      <c r="R42" s="146" t="e">
        <f t="shared" si="0"/>
        <v>#NUM!</v>
      </c>
      <c r="S42" s="146" t="e">
        <f t="shared" si="0"/>
        <v>#NUM!</v>
      </c>
      <c r="T42" s="146" t="e">
        <f t="shared" si="0"/>
        <v>#NUM!</v>
      </c>
      <c r="U42" s="146" t="e">
        <f t="shared" si="0"/>
        <v>#NUM!</v>
      </c>
      <c r="V42" s="146" t="e">
        <f t="shared" si="0"/>
        <v>#NUM!</v>
      </c>
      <c r="W42" s="146"/>
      <c r="X42" s="10"/>
      <c r="Y42" s="10"/>
      <c r="Z42" s="10"/>
      <c r="AA42" s="10"/>
      <c r="AB42" s="10"/>
    </row>
    <row r="43" spans="2:28" hidden="1">
      <c r="I43" s="10"/>
      <c r="J43" s="10"/>
      <c r="K43" s="147">
        <v>0.95</v>
      </c>
      <c r="L43" s="146" t="e">
        <f>IF(L38&gt;=1,1,0)</f>
        <v>#NUM!</v>
      </c>
      <c r="M43" s="146" t="e">
        <f t="shared" ref="M43:V43" si="1">IF(M38&gt;=1,1,0)</f>
        <v>#NUM!</v>
      </c>
      <c r="N43" s="146" t="e">
        <f t="shared" si="1"/>
        <v>#NUM!</v>
      </c>
      <c r="O43" s="146" t="e">
        <f t="shared" si="1"/>
        <v>#NUM!</v>
      </c>
      <c r="P43" s="146" t="e">
        <f t="shared" si="1"/>
        <v>#NUM!</v>
      </c>
      <c r="Q43" s="146" t="e">
        <f t="shared" si="1"/>
        <v>#NUM!</v>
      </c>
      <c r="R43" s="146" t="e">
        <f t="shared" si="1"/>
        <v>#NUM!</v>
      </c>
      <c r="S43" s="146" t="e">
        <f t="shared" si="1"/>
        <v>#NUM!</v>
      </c>
      <c r="T43" s="146" t="e">
        <f t="shared" si="1"/>
        <v>#NUM!</v>
      </c>
      <c r="U43" s="146" t="e">
        <f t="shared" si="1"/>
        <v>#NUM!</v>
      </c>
      <c r="V43" s="146" t="e">
        <f t="shared" si="1"/>
        <v>#NUM!</v>
      </c>
      <c r="W43" s="146" t="e">
        <f>IF(L43+M43+N43+O43+P43+Q43+R43+S43+T43+U43+V43&gt;=1,"Positive","Negative")</f>
        <v>#NUM!</v>
      </c>
      <c r="X43" s="10"/>
      <c r="Y43" s="10"/>
      <c r="Z43" s="10"/>
      <c r="AA43" s="10"/>
      <c r="AB43" s="10"/>
    </row>
    <row r="44" spans="2:28">
      <c r="I44" s="10"/>
      <c r="J44" s="10"/>
      <c r="K44" s="145" t="s">
        <v>326</v>
      </c>
      <c r="L44" s="146" t="e">
        <f>IF(L42+L43=2,1,0)</f>
        <v>#NUM!</v>
      </c>
      <c r="M44" s="146" t="e">
        <f t="shared" ref="M44:V44" si="2">IF(M42+M43=2,1,0)</f>
        <v>#NUM!</v>
      </c>
      <c r="N44" s="146" t="e">
        <f t="shared" si="2"/>
        <v>#NUM!</v>
      </c>
      <c r="O44" s="146" t="e">
        <f t="shared" si="2"/>
        <v>#NUM!</v>
      </c>
      <c r="P44" s="146" t="e">
        <f t="shared" si="2"/>
        <v>#NUM!</v>
      </c>
      <c r="Q44" s="146" t="e">
        <f t="shared" si="2"/>
        <v>#NUM!</v>
      </c>
      <c r="R44" s="146" t="e">
        <f t="shared" si="2"/>
        <v>#NUM!</v>
      </c>
      <c r="S44" s="146" t="e">
        <f t="shared" si="2"/>
        <v>#NUM!</v>
      </c>
      <c r="T44" s="146" t="e">
        <f t="shared" si="2"/>
        <v>#NUM!</v>
      </c>
      <c r="U44" s="146" t="e">
        <f t="shared" si="2"/>
        <v>#NUM!</v>
      </c>
      <c r="V44" s="146" t="e">
        <f t="shared" si="2"/>
        <v>#NUM!</v>
      </c>
      <c r="W44" s="146" t="e">
        <f>IF(L44+M44+N44+O44+P44+Q44+R44+S44+T44+U44+V44&gt;=1,"Positive","Negative")</f>
        <v>#NUM!</v>
      </c>
      <c r="X44" s="10"/>
      <c r="Y44" s="10"/>
      <c r="Z44" s="10"/>
      <c r="AA44" s="10"/>
      <c r="AB44" s="10"/>
    </row>
    <row r="45" spans="2:28"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2:28"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2:28">
      <c r="I47" s="10"/>
      <c r="J47" s="307" t="s">
        <v>102</v>
      </c>
      <c r="K47" s="307" t="e">
        <f>IF(ResultFormat!$N$120&gt;=1,"Positive","Negative")</f>
        <v>#NUM!</v>
      </c>
      <c r="L47" s="307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2:28">
      <c r="I48" s="10"/>
      <c r="J48" s="307"/>
      <c r="K48" s="307"/>
      <c r="L48" s="307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9:28"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9:28"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9:28"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9:28"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9:28"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9:28"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9:28"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9:28"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</sheetData>
  <mergeCells count="5">
    <mergeCell ref="C37:D38"/>
    <mergeCell ref="B37:B38"/>
    <mergeCell ref="G37:H38"/>
    <mergeCell ref="J47:J48"/>
    <mergeCell ref="K47:L48"/>
  </mergeCells>
  <phoneticPr fontId="1"/>
  <conditionalFormatting sqref="C37:D38">
    <cfRule type="containsText" dxfId="13" priority="6" stopIfTrue="1" operator="containsText" text="Negative">
      <formula>NOT(ISERROR(SEARCH("Negative",C37)))</formula>
    </cfRule>
    <cfRule type="containsText" dxfId="12" priority="7" stopIfTrue="1" operator="containsText" text="Positive">
      <formula>NOT(ISERROR(SEARCH("Positive",C37)))</formula>
    </cfRule>
    <cfRule type="containsText" dxfId="11" priority="8" stopIfTrue="1" operator="containsText" text="Negative">
      <formula>NOT(ISERROR(SEARCH("Negative",C37)))</formula>
    </cfRule>
    <cfRule type="containsText" dxfId="10" priority="9" stopIfTrue="1" operator="containsText" text="Positive">
      <formula>NOT(ISERROR(SEARCH("Positive",C37)))</formula>
    </cfRule>
    <cfRule type="containsText" dxfId="9" priority="10" stopIfTrue="1" operator="containsText" text="Positive">
      <formula>NOT(ISERROR(SEARCH("Positive",C37)))</formula>
    </cfRule>
  </conditionalFormatting>
  <conditionalFormatting sqref="K47:L48">
    <cfRule type="containsText" dxfId="8" priority="1" stopIfTrue="1" operator="containsText" text="Negative">
      <formula>NOT(ISERROR(SEARCH("Negative",K47)))</formula>
    </cfRule>
    <cfRule type="containsText" dxfId="7" priority="2" stopIfTrue="1" operator="containsText" text="Positive">
      <formula>NOT(ISERROR(SEARCH("Positive",K47)))</formula>
    </cfRule>
    <cfRule type="containsText" dxfId="6" priority="3" stopIfTrue="1" operator="containsText" text="Negative">
      <formula>NOT(ISERROR(SEARCH("Negative",K47)))</formula>
    </cfRule>
    <cfRule type="containsText" dxfId="5" priority="4" stopIfTrue="1" operator="containsText" text="Positive">
      <formula>NOT(ISERROR(SEARCH("Positive",K47)))</formula>
    </cfRule>
    <cfRule type="containsText" dxfId="4" priority="5" stopIfTrue="1" operator="containsText" text="Positive">
      <formula>NOT(ISERROR(SEARCH("Positive",K47)))</formula>
    </cfRule>
  </conditionalFormatting>
  <pageMargins left="0.7" right="0.7" top="0.75" bottom="0.75" header="0.3" footer="0.3"/>
  <pageSetup paperSize="9" scale="69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J34"/>
  <sheetViews>
    <sheetView zoomScaleNormal="100" workbookViewId="0">
      <selection activeCell="R29" sqref="R29"/>
    </sheetView>
  </sheetViews>
  <sheetFormatPr baseColWidth="10" defaultColWidth="5.59765625" defaultRowHeight="14"/>
  <cols>
    <col min="1" max="6" width="5.59765625" style="5" customWidth="1"/>
    <col min="7" max="7" width="9.59765625" style="5" customWidth="1"/>
    <col min="8" max="13" width="5.796875" style="5" bestFit="1" customWidth="1"/>
    <col min="14" max="14" width="5.59765625" style="5"/>
    <col min="15" max="15" width="6.19921875" style="5" customWidth="1"/>
    <col min="16" max="17" width="5.796875" style="5" bestFit="1" customWidth="1"/>
    <col min="18" max="18" width="10" style="5" bestFit="1" customWidth="1"/>
    <col min="19" max="16384" width="5.59765625" style="5"/>
  </cols>
  <sheetData>
    <row r="1" spans="1:36" customFormat="1" ht="16">
      <c r="A1" s="45"/>
      <c r="B1" s="10"/>
      <c r="C1" s="10"/>
      <c r="D1" s="10"/>
      <c r="E1" s="10"/>
      <c r="F1" s="10"/>
      <c r="G1" s="148"/>
      <c r="H1" s="10"/>
      <c r="I1" s="10"/>
      <c r="J1" s="10"/>
      <c r="K1" s="10"/>
      <c r="L1" s="2"/>
      <c r="M1" s="2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</row>
    <row r="2" spans="1:36" customFormat="1">
      <c r="A2" s="45"/>
      <c r="B2" s="10"/>
      <c r="C2" s="10"/>
      <c r="D2" s="10"/>
      <c r="E2" s="10"/>
      <c r="F2" s="149"/>
      <c r="G2" s="10"/>
      <c r="H2" s="10"/>
      <c r="I2" s="10"/>
      <c r="J2" s="10"/>
      <c r="K2" s="8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</row>
    <row r="3" spans="1:36" customFormat="1">
      <c r="A3" s="10"/>
      <c r="B3" s="10"/>
      <c r="C3" s="10"/>
      <c r="D3" s="10"/>
      <c r="E3" s="10"/>
      <c r="F3" s="150"/>
      <c r="G3" s="10"/>
      <c r="H3" s="10"/>
      <c r="I3" s="10"/>
      <c r="J3" s="10"/>
      <c r="K3" s="9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</row>
    <row r="4" spans="1:36" customFormat="1">
      <c r="A4" s="3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</row>
    <row r="5" spans="1:36" customFormat="1" ht="15" thickBot="1">
      <c r="A5" s="4" t="s">
        <v>133</v>
      </c>
      <c r="B5" s="1">
        <v>1</v>
      </c>
      <c r="C5" s="1">
        <v>2</v>
      </c>
      <c r="D5" s="1">
        <v>3</v>
      </c>
      <c r="E5" s="1">
        <v>4</v>
      </c>
      <c r="F5" s="1">
        <v>5</v>
      </c>
      <c r="G5" s="1">
        <v>6</v>
      </c>
      <c r="H5" s="1">
        <v>7</v>
      </c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</row>
    <row r="6" spans="1:36" customFormat="1" ht="15" thickTop="1">
      <c r="A6" s="4" t="s">
        <v>132</v>
      </c>
      <c r="B6" s="50"/>
      <c r="C6" s="51"/>
      <c r="D6" s="51"/>
      <c r="E6" s="51"/>
      <c r="F6" s="51"/>
      <c r="G6" s="51"/>
      <c r="H6" s="51"/>
      <c r="I6" s="51"/>
      <c r="J6" s="51"/>
      <c r="K6" s="51"/>
      <c r="L6" s="51"/>
      <c r="M6" s="52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customFormat="1">
      <c r="A7" s="4" t="s">
        <v>131</v>
      </c>
      <c r="B7" s="53"/>
      <c r="C7" s="54"/>
      <c r="D7" s="54"/>
      <c r="E7" s="54"/>
      <c r="F7" s="54"/>
      <c r="G7" s="54"/>
      <c r="H7" s="54"/>
      <c r="I7" s="54"/>
      <c r="J7" s="54"/>
      <c r="K7" s="54"/>
      <c r="L7" s="54"/>
      <c r="M7" s="55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</row>
    <row r="8" spans="1:36" customFormat="1">
      <c r="A8" s="4" t="s">
        <v>130</v>
      </c>
      <c r="B8" s="53"/>
      <c r="C8" s="54"/>
      <c r="D8" s="54"/>
      <c r="E8" s="54"/>
      <c r="F8" s="54"/>
      <c r="G8" s="54"/>
      <c r="H8" s="54"/>
      <c r="I8" s="54"/>
      <c r="J8" s="54"/>
      <c r="K8" s="54"/>
      <c r="L8" s="54"/>
      <c r="M8" s="55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</row>
    <row r="9" spans="1:36" customFormat="1">
      <c r="A9" s="4" t="s">
        <v>129</v>
      </c>
      <c r="B9" s="53"/>
      <c r="C9" s="54"/>
      <c r="D9" s="54"/>
      <c r="E9" s="54"/>
      <c r="F9" s="54"/>
      <c r="G9" s="151"/>
      <c r="H9" s="54"/>
      <c r="I9" s="54"/>
      <c r="J9" s="54"/>
      <c r="K9" s="54"/>
      <c r="L9" s="54"/>
      <c r="M9" s="55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</row>
    <row r="10" spans="1:36" customFormat="1">
      <c r="A10" s="4" t="s">
        <v>128</v>
      </c>
      <c r="B10" s="53"/>
      <c r="C10" s="54"/>
      <c r="D10" s="54"/>
      <c r="E10" s="54"/>
      <c r="F10" s="54"/>
      <c r="G10" s="152"/>
      <c r="H10" s="54"/>
      <c r="I10" s="54"/>
      <c r="J10" s="54"/>
      <c r="K10" s="54"/>
      <c r="L10" s="54"/>
      <c r="M10" s="55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</row>
    <row r="11" spans="1:36" customFormat="1">
      <c r="A11" s="4" t="s">
        <v>13</v>
      </c>
      <c r="B11" s="53"/>
      <c r="C11" s="54"/>
      <c r="D11" s="54"/>
      <c r="E11" s="54"/>
      <c r="F11" s="54"/>
      <c r="G11" s="153"/>
      <c r="H11" s="54"/>
      <c r="I11" s="54"/>
      <c r="J11" s="54"/>
      <c r="K11" s="54"/>
      <c r="L11" s="54"/>
      <c r="M11" s="55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</row>
    <row r="12" spans="1:36" customFormat="1">
      <c r="A12" s="4" t="s">
        <v>127</v>
      </c>
      <c r="B12" s="53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5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</row>
    <row r="13" spans="1:36" customFormat="1" ht="15" thickBot="1">
      <c r="A13" s="4" t="s">
        <v>126</v>
      </c>
      <c r="B13" s="56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8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</row>
    <row r="14" spans="1:36" customFormat="1" ht="15" thickTop="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</row>
    <row r="15" spans="1:36" customFormat="1">
      <c r="A15" s="3" t="s">
        <v>99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</row>
    <row r="16" spans="1:36" customFormat="1" ht="15" thickBot="1">
      <c r="A16" s="4" t="s">
        <v>124</v>
      </c>
      <c r="B16" s="1">
        <v>1</v>
      </c>
      <c r="C16" s="1">
        <v>2</v>
      </c>
      <c r="D16" s="1">
        <v>3</v>
      </c>
      <c r="E16" s="1">
        <v>4</v>
      </c>
      <c r="F16" s="1">
        <v>5</v>
      </c>
      <c r="G16" s="1">
        <v>6</v>
      </c>
      <c r="H16" s="1">
        <v>7</v>
      </c>
      <c r="I16" s="1">
        <v>8</v>
      </c>
      <c r="J16" s="1">
        <v>9</v>
      </c>
      <c r="K16" s="1">
        <v>10</v>
      </c>
      <c r="L16" s="1">
        <v>11</v>
      </c>
      <c r="M16" s="1">
        <v>12</v>
      </c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</row>
    <row r="17" spans="1:36" customFormat="1">
      <c r="A17" s="4" t="s">
        <v>0</v>
      </c>
      <c r="B17" s="59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1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</row>
    <row r="18" spans="1:36" customFormat="1">
      <c r="A18" s="4" t="s">
        <v>1</v>
      </c>
      <c r="B18" s="62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4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</row>
    <row r="19" spans="1:36" customFormat="1">
      <c r="A19" s="4" t="s">
        <v>2</v>
      </c>
      <c r="B19" s="62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4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</row>
    <row r="20" spans="1:36" customFormat="1">
      <c r="A20" s="4" t="s">
        <v>3</v>
      </c>
      <c r="B20" s="62"/>
      <c r="C20" s="63"/>
      <c r="D20" s="63"/>
      <c r="E20" s="63"/>
      <c r="F20" s="63"/>
      <c r="G20" s="154"/>
      <c r="H20" s="63"/>
      <c r="I20" s="63"/>
      <c r="J20" s="63"/>
      <c r="K20" s="63"/>
      <c r="L20" s="63"/>
      <c r="M20" s="64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</row>
    <row r="21" spans="1:36" customFormat="1">
      <c r="A21" s="4" t="s">
        <v>4</v>
      </c>
      <c r="B21" s="62"/>
      <c r="C21" s="63"/>
      <c r="D21" s="63"/>
      <c r="E21" s="63"/>
      <c r="F21" s="63"/>
      <c r="G21" s="155"/>
      <c r="H21" s="63"/>
      <c r="I21" s="63"/>
      <c r="J21" s="63"/>
      <c r="K21" s="63"/>
      <c r="L21" s="63"/>
      <c r="M21" s="64"/>
      <c r="N21" s="10"/>
      <c r="O21" s="46"/>
      <c r="P21" s="156" t="s">
        <v>125</v>
      </c>
      <c r="Q21" s="156" t="s">
        <v>124</v>
      </c>
      <c r="R21" s="157" t="s">
        <v>123</v>
      </c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</row>
    <row r="22" spans="1:36" customFormat="1">
      <c r="A22" s="4" t="s">
        <v>5</v>
      </c>
      <c r="B22" s="62"/>
      <c r="C22" s="63"/>
      <c r="D22" s="63"/>
      <c r="E22" s="63"/>
      <c r="F22" s="63"/>
      <c r="G22" s="158"/>
      <c r="H22" s="63"/>
      <c r="I22" s="63"/>
      <c r="J22" s="63"/>
      <c r="K22" s="63"/>
      <c r="L22" s="63"/>
      <c r="M22" s="64"/>
      <c r="N22" s="10"/>
      <c r="O22" s="159" t="s">
        <v>117</v>
      </c>
      <c r="P22" s="160">
        <f>G9</f>
        <v>0</v>
      </c>
      <c r="Q22" s="160">
        <f>G20</f>
        <v>0</v>
      </c>
      <c r="R22" s="119" t="e">
        <f>G20/G9</f>
        <v>#DIV/0!</v>
      </c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</row>
    <row r="23" spans="1:36" customFormat="1">
      <c r="A23" s="4" t="s">
        <v>6</v>
      </c>
      <c r="B23" s="62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4"/>
      <c r="N23" s="10"/>
      <c r="O23" s="159" t="s">
        <v>115</v>
      </c>
      <c r="P23" s="10">
        <f>G10</f>
        <v>0</v>
      </c>
      <c r="Q23" s="10">
        <f>G21</f>
        <v>0</v>
      </c>
      <c r="R23" s="122" t="e">
        <f>G21/G10</f>
        <v>#DIV/0!</v>
      </c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</row>
    <row r="24" spans="1:36" customFormat="1" ht="15" thickBot="1">
      <c r="A24" s="4" t="s">
        <v>7</v>
      </c>
      <c r="B24" s="65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7"/>
      <c r="N24" s="10"/>
      <c r="O24" s="161" t="s">
        <v>116</v>
      </c>
      <c r="P24" s="162">
        <f>G11</f>
        <v>0</v>
      </c>
      <c r="Q24" s="162">
        <f>G22</f>
        <v>0</v>
      </c>
      <c r="R24" s="125" t="e">
        <f>G22/G11</f>
        <v>#DIV/0!</v>
      </c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</row>
    <row r="25" spans="1:36" customFormat="1">
      <c r="A25" s="1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</row>
    <row r="26" spans="1:36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</row>
    <row r="27" spans="1:36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</row>
    <row r="28" spans="1:36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</row>
    <row r="29" spans="1:36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</row>
    <row r="30" spans="1:36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</row>
    <row r="31" spans="1:36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</row>
    <row r="32" spans="1:36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</row>
    <row r="33" spans="1:36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</row>
    <row r="34" spans="1:36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</row>
  </sheetData>
  <protectedRanges>
    <protectedRange sqref="G9:G11" name="範囲1"/>
    <protectedRange sqref="G20:G22" name="範囲2"/>
  </protectedRanges>
  <phoneticPr fontId="1"/>
  <pageMargins left="0.75" right="0.75" top="1" bottom="1" header="0.51200000000000001" footer="0.51200000000000001"/>
  <pageSetup paperSize="9" scale="48"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pageSetUpPr fitToPage="1"/>
  </sheetPr>
  <dimension ref="A1:U60"/>
  <sheetViews>
    <sheetView zoomScaleNormal="100" workbookViewId="0">
      <selection activeCell="S27" sqref="S27"/>
    </sheetView>
  </sheetViews>
  <sheetFormatPr baseColWidth="10" defaultColWidth="9.19921875" defaultRowHeight="14"/>
  <cols>
    <col min="1" max="1" width="9.19921875" style="6"/>
    <col min="2" max="16384" width="9.19921875" style="5"/>
  </cols>
  <sheetData>
    <row r="1" spans="1:21" customFormat="1" ht="15">
      <c r="A1" s="45" t="s">
        <v>336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</row>
    <row r="2" spans="1:21" customFormat="1">
      <c r="A2" s="45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</row>
    <row r="3" spans="1:21" customFormat="1">
      <c r="A3" s="45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</row>
    <row r="4" spans="1:21" customFormat="1">
      <c r="A4" s="45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</row>
    <row r="5" spans="1:21" customFormat="1">
      <c r="A5" s="3" t="s">
        <v>22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</row>
    <row r="6" spans="1:21" customFormat="1" ht="15" thickBot="1">
      <c r="A6" s="4" t="s">
        <v>21</v>
      </c>
      <c r="B6" s="1">
        <v>1</v>
      </c>
      <c r="C6" s="1">
        <v>2</v>
      </c>
      <c r="D6" s="1">
        <v>3</v>
      </c>
      <c r="E6" s="1">
        <v>4</v>
      </c>
      <c r="F6" s="1">
        <v>5</v>
      </c>
      <c r="G6" s="1">
        <v>6</v>
      </c>
      <c r="H6" s="1">
        <v>7</v>
      </c>
      <c r="I6" s="1">
        <v>8</v>
      </c>
      <c r="J6" s="1">
        <v>9</v>
      </c>
      <c r="K6" s="1">
        <v>10</v>
      </c>
      <c r="L6" s="1">
        <v>11</v>
      </c>
      <c r="M6" s="1">
        <v>12</v>
      </c>
      <c r="N6" s="10"/>
      <c r="O6" s="10"/>
      <c r="P6" s="10"/>
      <c r="Q6" s="10"/>
      <c r="R6" s="10"/>
      <c r="S6" s="10"/>
      <c r="T6" s="10"/>
      <c r="U6" s="10"/>
    </row>
    <row r="7" spans="1:21" customFormat="1" ht="15" thickTop="1">
      <c r="A7" s="4" t="s">
        <v>8</v>
      </c>
      <c r="B7" s="50">
        <f t="array" ref="B7:M14">'Data Input'!B8:M15</f>
        <v>0</v>
      </c>
      <c r="C7" s="51">
        <v>0</v>
      </c>
      <c r="D7" s="51">
        <v>0</v>
      </c>
      <c r="E7" s="51">
        <v>0</v>
      </c>
      <c r="F7" s="51">
        <v>0</v>
      </c>
      <c r="G7" s="51">
        <v>0</v>
      </c>
      <c r="H7" s="51">
        <v>0</v>
      </c>
      <c r="I7" s="51">
        <v>0</v>
      </c>
      <c r="J7" s="51">
        <v>0</v>
      </c>
      <c r="K7" s="51">
        <v>0</v>
      </c>
      <c r="L7" s="51">
        <v>0</v>
      </c>
      <c r="M7" s="52">
        <v>0</v>
      </c>
      <c r="N7" s="10"/>
      <c r="O7" s="10"/>
      <c r="P7" s="10"/>
      <c r="Q7" s="10"/>
      <c r="R7" s="10"/>
      <c r="S7" s="10"/>
      <c r="T7" s="10"/>
      <c r="U7" s="10"/>
    </row>
    <row r="8" spans="1:21" customFormat="1">
      <c r="A8" s="4" t="s">
        <v>9</v>
      </c>
      <c r="B8" s="53">
        <v>0</v>
      </c>
      <c r="C8" s="54">
        <v>0</v>
      </c>
      <c r="D8" s="54">
        <v>0</v>
      </c>
      <c r="E8" s="54">
        <v>0</v>
      </c>
      <c r="F8" s="54">
        <v>0</v>
      </c>
      <c r="G8" s="54">
        <v>0</v>
      </c>
      <c r="H8" s="54">
        <v>0</v>
      </c>
      <c r="I8" s="54">
        <v>0</v>
      </c>
      <c r="J8" s="54">
        <v>0</v>
      </c>
      <c r="K8" s="54">
        <v>0</v>
      </c>
      <c r="L8" s="54">
        <v>0</v>
      </c>
      <c r="M8" s="55">
        <v>0</v>
      </c>
      <c r="N8" s="10"/>
      <c r="O8" s="10"/>
      <c r="P8" s="10"/>
      <c r="Q8" s="10"/>
      <c r="R8" s="10"/>
      <c r="S8" s="10"/>
      <c r="T8" s="10"/>
      <c r="U8" s="10"/>
    </row>
    <row r="9" spans="1:21" customFormat="1">
      <c r="A9" s="4" t="s">
        <v>10</v>
      </c>
      <c r="B9" s="53">
        <v>0</v>
      </c>
      <c r="C9" s="54">
        <v>0</v>
      </c>
      <c r="D9" s="54">
        <v>0</v>
      </c>
      <c r="E9" s="54">
        <v>0</v>
      </c>
      <c r="F9" s="54">
        <v>0</v>
      </c>
      <c r="G9" s="54">
        <v>0</v>
      </c>
      <c r="H9" s="54">
        <v>0</v>
      </c>
      <c r="I9" s="54">
        <v>0</v>
      </c>
      <c r="J9" s="54">
        <v>0</v>
      </c>
      <c r="K9" s="54">
        <v>0</v>
      </c>
      <c r="L9" s="54">
        <v>0</v>
      </c>
      <c r="M9" s="55">
        <v>0</v>
      </c>
      <c r="N9" s="10"/>
      <c r="O9" s="10"/>
      <c r="P9" s="10"/>
      <c r="Q9" s="10"/>
      <c r="R9" s="10"/>
      <c r="S9" s="10"/>
      <c r="T9" s="10"/>
      <c r="U9" s="10"/>
    </row>
    <row r="10" spans="1:21" customFormat="1">
      <c r="A10" s="4" t="s">
        <v>11</v>
      </c>
      <c r="B10" s="53">
        <v>0</v>
      </c>
      <c r="C10" s="54">
        <v>0</v>
      </c>
      <c r="D10" s="54">
        <v>0</v>
      </c>
      <c r="E10" s="54">
        <v>0</v>
      </c>
      <c r="F10" s="54">
        <v>0</v>
      </c>
      <c r="G10" s="54">
        <v>0</v>
      </c>
      <c r="H10" s="54">
        <v>0</v>
      </c>
      <c r="I10" s="54">
        <v>0</v>
      </c>
      <c r="J10" s="54">
        <v>0</v>
      </c>
      <c r="K10" s="54">
        <v>0</v>
      </c>
      <c r="L10" s="54">
        <v>0</v>
      </c>
      <c r="M10" s="55">
        <v>0</v>
      </c>
      <c r="N10" s="10"/>
      <c r="O10" s="10"/>
      <c r="P10" s="10"/>
      <c r="Q10" s="10"/>
      <c r="R10" s="10"/>
      <c r="S10" s="10"/>
      <c r="T10" s="10"/>
      <c r="U10" s="10"/>
    </row>
    <row r="11" spans="1:21" customFormat="1">
      <c r="A11" s="4" t="s">
        <v>12</v>
      </c>
      <c r="B11" s="53">
        <v>0</v>
      </c>
      <c r="C11" s="54">
        <v>0</v>
      </c>
      <c r="D11" s="54">
        <v>0</v>
      </c>
      <c r="E11" s="54">
        <v>0</v>
      </c>
      <c r="F11" s="54">
        <v>0</v>
      </c>
      <c r="G11" s="54">
        <v>0</v>
      </c>
      <c r="H11" s="54">
        <v>0</v>
      </c>
      <c r="I11" s="54">
        <v>0</v>
      </c>
      <c r="J11" s="54">
        <v>0</v>
      </c>
      <c r="K11" s="54">
        <v>0</v>
      </c>
      <c r="L11" s="54">
        <v>0</v>
      </c>
      <c r="M11" s="55">
        <v>0</v>
      </c>
      <c r="N11" s="10"/>
      <c r="O11" s="10"/>
      <c r="P11" s="10"/>
      <c r="Q11" s="10"/>
      <c r="R11" s="10"/>
      <c r="S11" s="10"/>
      <c r="T11" s="10"/>
      <c r="U11" s="10"/>
    </row>
    <row r="12" spans="1:21" customFormat="1">
      <c r="A12" s="4" t="s">
        <v>13</v>
      </c>
      <c r="B12" s="53">
        <v>0</v>
      </c>
      <c r="C12" s="54">
        <v>0</v>
      </c>
      <c r="D12" s="54">
        <v>0</v>
      </c>
      <c r="E12" s="54">
        <v>0</v>
      </c>
      <c r="F12" s="54">
        <v>0</v>
      </c>
      <c r="G12" s="54">
        <v>0</v>
      </c>
      <c r="H12" s="54">
        <v>0</v>
      </c>
      <c r="I12" s="54">
        <v>0</v>
      </c>
      <c r="J12" s="54">
        <v>0</v>
      </c>
      <c r="K12" s="54">
        <v>0</v>
      </c>
      <c r="L12" s="54">
        <v>0</v>
      </c>
      <c r="M12" s="55">
        <v>0</v>
      </c>
      <c r="N12" s="10"/>
      <c r="O12" s="10"/>
      <c r="P12" s="10"/>
      <c r="Q12" s="10"/>
      <c r="R12" s="10"/>
      <c r="S12" s="10"/>
      <c r="T12" s="10"/>
      <c r="U12" s="10"/>
    </row>
    <row r="13" spans="1:21" customFormat="1">
      <c r="A13" s="4" t="s">
        <v>14</v>
      </c>
      <c r="B13" s="53">
        <v>0</v>
      </c>
      <c r="C13" s="54">
        <v>0</v>
      </c>
      <c r="D13" s="54">
        <v>0</v>
      </c>
      <c r="E13" s="54">
        <v>0</v>
      </c>
      <c r="F13" s="54">
        <v>0</v>
      </c>
      <c r="G13" s="54">
        <v>0</v>
      </c>
      <c r="H13" s="54">
        <v>0</v>
      </c>
      <c r="I13" s="54">
        <v>0</v>
      </c>
      <c r="J13" s="54">
        <v>0</v>
      </c>
      <c r="K13" s="54">
        <v>0</v>
      </c>
      <c r="L13" s="54">
        <v>0</v>
      </c>
      <c r="M13" s="55">
        <v>0</v>
      </c>
      <c r="N13" s="10"/>
      <c r="O13" s="10"/>
      <c r="P13" s="10"/>
      <c r="Q13" s="10"/>
      <c r="R13" s="10"/>
      <c r="S13" s="10"/>
      <c r="T13" s="10"/>
      <c r="U13" s="10"/>
    </row>
    <row r="14" spans="1:21" customFormat="1" ht="15" thickBot="1">
      <c r="A14" s="4" t="s">
        <v>15</v>
      </c>
      <c r="B14" s="56">
        <v>0</v>
      </c>
      <c r="C14" s="57">
        <v>0</v>
      </c>
      <c r="D14" s="57">
        <v>0</v>
      </c>
      <c r="E14" s="57">
        <v>0</v>
      </c>
      <c r="F14" s="57">
        <v>0</v>
      </c>
      <c r="G14" s="57">
        <v>0</v>
      </c>
      <c r="H14" s="57">
        <v>0</v>
      </c>
      <c r="I14" s="57">
        <v>0</v>
      </c>
      <c r="J14" s="57">
        <v>0</v>
      </c>
      <c r="K14" s="57">
        <v>0</v>
      </c>
      <c r="L14" s="57">
        <v>0</v>
      </c>
      <c r="M14" s="58">
        <v>0</v>
      </c>
      <c r="N14" s="10"/>
      <c r="O14" s="10"/>
      <c r="P14" s="10"/>
      <c r="Q14" s="10"/>
      <c r="R14" s="10"/>
      <c r="S14" s="10"/>
      <c r="T14" s="10"/>
      <c r="U14" s="10"/>
    </row>
    <row r="15" spans="1:21" customFormat="1" ht="15" thickTop="1">
      <c r="A15" s="4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</row>
    <row r="16" spans="1:21" customFormat="1">
      <c r="A16" s="3" t="s">
        <v>16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</row>
    <row r="17" spans="1:21" customFormat="1" ht="15" thickBot="1">
      <c r="A17" s="4" t="s">
        <v>26</v>
      </c>
      <c r="B17" s="1">
        <v>1</v>
      </c>
      <c r="C17" s="1">
        <v>2</v>
      </c>
      <c r="D17" s="1">
        <v>3</v>
      </c>
      <c r="E17" s="1">
        <v>4</v>
      </c>
      <c r="F17" s="1">
        <v>5</v>
      </c>
      <c r="G17" s="1">
        <v>6</v>
      </c>
      <c r="H17" s="1">
        <v>7</v>
      </c>
      <c r="I17" s="1">
        <v>8</v>
      </c>
      <c r="J17" s="1">
        <v>9</v>
      </c>
      <c r="K17" s="1">
        <v>10</v>
      </c>
      <c r="L17" s="1">
        <v>11</v>
      </c>
      <c r="M17" s="1">
        <v>12</v>
      </c>
      <c r="N17" s="10"/>
      <c r="O17" s="10"/>
      <c r="P17" s="10"/>
      <c r="Q17" s="10"/>
      <c r="R17" s="10"/>
      <c r="S17" s="10"/>
      <c r="T17" s="10"/>
      <c r="U17" s="10"/>
    </row>
    <row r="18" spans="1:21" customFormat="1">
      <c r="A18" s="4" t="s">
        <v>0</v>
      </c>
      <c r="B18" s="59">
        <f t="array" ref="B18:M25">'Data Input'!B19:M26</f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  <c r="H18" s="60">
        <v>0</v>
      </c>
      <c r="I18" s="60">
        <v>0</v>
      </c>
      <c r="J18" s="60">
        <v>0</v>
      </c>
      <c r="K18" s="60">
        <v>0</v>
      </c>
      <c r="L18" s="60">
        <v>0</v>
      </c>
      <c r="M18" s="61">
        <v>0</v>
      </c>
      <c r="N18" s="10"/>
      <c r="O18" s="10"/>
      <c r="P18" s="10"/>
      <c r="Q18" s="10"/>
      <c r="R18" s="10"/>
      <c r="S18" s="10"/>
      <c r="T18" s="10"/>
      <c r="U18" s="10"/>
    </row>
    <row r="19" spans="1:21" customFormat="1">
      <c r="A19" s="4" t="s">
        <v>1</v>
      </c>
      <c r="B19" s="62">
        <v>0</v>
      </c>
      <c r="C19" s="63">
        <v>0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4">
        <v>0</v>
      </c>
      <c r="N19" s="10"/>
      <c r="O19" s="10"/>
      <c r="P19" s="10"/>
      <c r="Q19" s="10"/>
      <c r="R19" s="10"/>
      <c r="S19" s="10"/>
      <c r="T19" s="10"/>
      <c r="U19" s="10"/>
    </row>
    <row r="20" spans="1:21" customFormat="1">
      <c r="A20" s="4" t="s">
        <v>2</v>
      </c>
      <c r="B20" s="62">
        <v>0</v>
      </c>
      <c r="C20" s="63">
        <v>0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4">
        <v>0</v>
      </c>
      <c r="N20" s="10"/>
      <c r="O20" s="10"/>
      <c r="P20" s="10"/>
      <c r="Q20" s="10"/>
      <c r="R20" s="10"/>
      <c r="S20" s="10"/>
      <c r="T20" s="10"/>
      <c r="U20" s="10"/>
    </row>
    <row r="21" spans="1:21" customFormat="1">
      <c r="A21" s="4" t="s">
        <v>3</v>
      </c>
      <c r="B21" s="62">
        <v>0</v>
      </c>
      <c r="C21" s="63">
        <v>0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0</v>
      </c>
      <c r="M21" s="64">
        <v>0</v>
      </c>
      <c r="N21" s="10"/>
      <c r="O21" s="10"/>
      <c r="P21" s="10"/>
      <c r="Q21" s="10"/>
      <c r="R21" s="10"/>
      <c r="S21" s="10"/>
      <c r="T21" s="10"/>
      <c r="U21" s="10"/>
    </row>
    <row r="22" spans="1:21" customFormat="1">
      <c r="A22" s="4" t="s">
        <v>4</v>
      </c>
      <c r="B22" s="62">
        <v>0</v>
      </c>
      <c r="C22" s="63">
        <v>0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4">
        <v>0</v>
      </c>
      <c r="N22" s="10"/>
      <c r="O22" s="10"/>
      <c r="P22" s="10"/>
      <c r="Q22" s="10"/>
      <c r="R22" s="10"/>
      <c r="S22" s="10"/>
      <c r="T22" s="10"/>
      <c r="U22" s="10"/>
    </row>
    <row r="23" spans="1:21" customFormat="1">
      <c r="A23" s="4" t="s">
        <v>5</v>
      </c>
      <c r="B23" s="62">
        <v>0</v>
      </c>
      <c r="C23" s="63">
        <v>0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0</v>
      </c>
      <c r="M23" s="64">
        <v>0</v>
      </c>
      <c r="N23" s="10"/>
      <c r="O23" s="10"/>
      <c r="P23" s="10"/>
      <c r="Q23" s="10"/>
      <c r="R23" s="10"/>
      <c r="S23" s="10"/>
      <c r="T23" s="10"/>
      <c r="U23" s="10"/>
    </row>
    <row r="24" spans="1:21" customFormat="1">
      <c r="A24" s="4" t="s">
        <v>6</v>
      </c>
      <c r="B24" s="62">
        <v>0</v>
      </c>
      <c r="C24" s="63">
        <v>0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0</v>
      </c>
      <c r="M24" s="64">
        <v>0</v>
      </c>
      <c r="N24" s="10"/>
      <c r="O24" s="10"/>
      <c r="P24" s="10"/>
      <c r="Q24" s="10"/>
      <c r="R24" s="10"/>
      <c r="S24" s="10"/>
      <c r="T24" s="10"/>
      <c r="U24" s="10"/>
    </row>
    <row r="25" spans="1:21" customFormat="1" ht="15" thickBot="1">
      <c r="A25" s="4" t="s">
        <v>7</v>
      </c>
      <c r="B25" s="65">
        <v>0</v>
      </c>
      <c r="C25" s="66">
        <v>0</v>
      </c>
      <c r="D25" s="66">
        <v>0</v>
      </c>
      <c r="E25" s="66">
        <v>0</v>
      </c>
      <c r="F25" s="66">
        <v>0</v>
      </c>
      <c r="G25" s="66">
        <v>0</v>
      </c>
      <c r="H25" s="66">
        <v>0</v>
      </c>
      <c r="I25" s="66">
        <v>0</v>
      </c>
      <c r="J25" s="66">
        <v>0</v>
      </c>
      <c r="K25" s="66">
        <v>0</v>
      </c>
      <c r="L25" s="66">
        <v>0</v>
      </c>
      <c r="M25" s="67">
        <v>0</v>
      </c>
      <c r="N25" s="10"/>
      <c r="O25" s="10"/>
      <c r="P25" s="10"/>
      <c r="Q25" s="10"/>
      <c r="R25" s="10"/>
      <c r="S25" s="10"/>
      <c r="T25" s="10"/>
      <c r="U25" s="10"/>
    </row>
    <row r="26" spans="1:21" customFormat="1" ht="15" thickBot="1">
      <c r="A26" s="1"/>
      <c r="B26" s="10"/>
      <c r="C26" s="10"/>
      <c r="D26" s="10"/>
      <c r="E26" s="10"/>
      <c r="F26" s="10"/>
      <c r="G26" s="10"/>
      <c r="H26" s="10"/>
      <c r="I26" s="2" t="s">
        <v>21</v>
      </c>
      <c r="J26" s="2" t="s">
        <v>24</v>
      </c>
      <c r="K26" s="10"/>
      <c r="L26" s="10" t="s">
        <v>101</v>
      </c>
      <c r="M26" s="10"/>
      <c r="N26" s="10"/>
      <c r="O26" s="10"/>
      <c r="P26" s="10"/>
      <c r="Q26" s="10"/>
      <c r="R26" s="10"/>
      <c r="S26" s="10"/>
      <c r="T26" s="10"/>
      <c r="U26" s="10"/>
    </row>
    <row r="27" spans="1:21">
      <c r="A27" s="98"/>
      <c r="B27" s="10"/>
      <c r="C27" s="10"/>
      <c r="D27" s="10"/>
      <c r="E27" s="10"/>
      <c r="F27" s="10"/>
      <c r="G27" s="10"/>
      <c r="H27" s="8" t="s">
        <v>20</v>
      </c>
      <c r="I27" s="68">
        <v>1</v>
      </c>
      <c r="J27" s="69">
        <f>'Data Input'!G4</f>
        <v>0</v>
      </c>
      <c r="K27" s="10"/>
      <c r="L27" s="68" t="e">
        <f t="array" ref="L27:M28">MINVERSE(I27:J28)</f>
        <v>#NUM!</v>
      </c>
      <c r="M27" s="69" t="e">
        <v>#NUM!</v>
      </c>
      <c r="N27" s="10"/>
      <c r="O27" s="10"/>
      <c r="P27" s="10"/>
      <c r="Q27" s="10"/>
      <c r="R27" s="10"/>
      <c r="S27" s="10"/>
      <c r="T27" s="10"/>
      <c r="U27" s="10"/>
    </row>
    <row r="28" spans="1:21" ht="15" thickBot="1">
      <c r="A28" s="98"/>
      <c r="B28" s="10"/>
      <c r="C28" s="10"/>
      <c r="D28" s="10"/>
      <c r="E28" s="10"/>
      <c r="F28" s="10"/>
      <c r="G28" s="10"/>
      <c r="H28" s="9" t="s">
        <v>23</v>
      </c>
      <c r="I28" s="70">
        <v>1</v>
      </c>
      <c r="J28" s="71">
        <f>'Data Input'!G5</f>
        <v>0</v>
      </c>
      <c r="K28" s="10"/>
      <c r="L28" s="70" t="e">
        <v>#NUM!</v>
      </c>
      <c r="M28" s="71" t="e">
        <v>#NUM!</v>
      </c>
      <c r="N28" s="10"/>
      <c r="O28" s="10"/>
      <c r="P28" s="10"/>
      <c r="Q28" s="10"/>
      <c r="R28" s="10"/>
      <c r="S28" s="10"/>
      <c r="T28" s="10"/>
      <c r="U28" s="10"/>
    </row>
    <row r="29" spans="1:2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</row>
    <row r="30" spans="1:21">
      <c r="A30" s="45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</row>
    <row r="31" spans="1:21" ht="15">
      <c r="A31" s="45" t="s">
        <v>336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</row>
    <row r="32" spans="1:21">
      <c r="A32" s="45"/>
      <c r="B32" s="3" t="s">
        <v>17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</row>
    <row r="33" spans="1:21" ht="15" thickBot="1">
      <c r="A33" s="45"/>
      <c r="B33" s="10"/>
      <c r="C33" s="74">
        <v>1</v>
      </c>
      <c r="D33" s="74">
        <v>2</v>
      </c>
      <c r="E33" s="74">
        <v>3</v>
      </c>
      <c r="F33" s="74">
        <v>4</v>
      </c>
      <c r="G33" s="74">
        <v>5</v>
      </c>
      <c r="H33" s="74">
        <v>6</v>
      </c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</row>
    <row r="34" spans="1:21" s="7" customFormat="1" ht="15" thickTop="1">
      <c r="A34" s="73"/>
      <c r="B34" s="1"/>
      <c r="C34" s="162" t="s">
        <v>40</v>
      </c>
      <c r="D34" s="162" t="s">
        <v>40</v>
      </c>
      <c r="E34" s="162" t="s">
        <v>40</v>
      </c>
      <c r="F34" s="162" t="s">
        <v>72</v>
      </c>
      <c r="G34" s="162" t="s">
        <v>72</v>
      </c>
      <c r="H34" s="162" t="s">
        <v>72</v>
      </c>
      <c r="I34" s="163" t="s">
        <v>73</v>
      </c>
      <c r="J34" s="164" t="s">
        <v>74</v>
      </c>
      <c r="K34" s="10" t="s">
        <v>75</v>
      </c>
      <c r="L34" s="10" t="s">
        <v>76</v>
      </c>
      <c r="M34" s="10" t="s">
        <v>77</v>
      </c>
      <c r="N34" s="10" t="s">
        <v>78</v>
      </c>
      <c r="O34" s="10"/>
      <c r="P34" s="73"/>
      <c r="Q34" s="73"/>
      <c r="R34" s="73"/>
      <c r="S34" s="73"/>
      <c r="T34" s="73"/>
      <c r="U34" s="73"/>
    </row>
    <row r="35" spans="1:21">
      <c r="A35" s="75"/>
      <c r="B35" s="165" t="s">
        <v>20</v>
      </c>
      <c r="C35" s="166" t="e">
        <f t="shared" ref="C35:H35" si="0">B12*$L$27+B23*$L$28</f>
        <v>#NUM!</v>
      </c>
      <c r="D35" s="166" t="e">
        <f t="shared" si="0"/>
        <v>#NUM!</v>
      </c>
      <c r="E35" s="166" t="e">
        <f t="shared" si="0"/>
        <v>#NUM!</v>
      </c>
      <c r="F35" s="166" t="e">
        <f t="shared" si="0"/>
        <v>#NUM!</v>
      </c>
      <c r="G35" s="166" t="e">
        <f t="shared" si="0"/>
        <v>#NUM!</v>
      </c>
      <c r="H35" s="166" t="e">
        <f t="shared" si="0"/>
        <v>#NUM!</v>
      </c>
      <c r="I35" s="167" t="e">
        <f>AVERAGE(C35:E35)</f>
        <v>#NUM!</v>
      </c>
      <c r="J35" s="168" t="e">
        <f>AVERAGE(F35:H35)</f>
        <v>#NUM!</v>
      </c>
      <c r="K35" s="166" t="e">
        <f>STDEV(C35:E35)</f>
        <v>#NUM!</v>
      </c>
      <c r="L35" s="166" t="e">
        <f>STDEV(F35:H35)</f>
        <v>#NUM!</v>
      </c>
      <c r="M35" s="166" t="e">
        <f>100*K35/I35</f>
        <v>#NUM!</v>
      </c>
      <c r="N35" s="166" t="e">
        <f>100*L35/J35</f>
        <v>#NUM!</v>
      </c>
      <c r="O35" s="10"/>
      <c r="P35" s="10"/>
      <c r="Q35" s="10"/>
      <c r="R35" s="10"/>
      <c r="S35" s="10"/>
      <c r="T35" s="10"/>
      <c r="U35" s="10"/>
    </row>
    <row r="36" spans="1:21">
      <c r="A36" s="45"/>
      <c r="B36" s="169" t="s">
        <v>25</v>
      </c>
      <c r="C36" s="170" t="e">
        <f t="shared" ref="C36:H36" si="1">B12*$M$27+B23*$M$28</f>
        <v>#NUM!</v>
      </c>
      <c r="D36" s="170" t="e">
        <f t="shared" si="1"/>
        <v>#NUM!</v>
      </c>
      <c r="E36" s="170" t="e">
        <f t="shared" si="1"/>
        <v>#NUM!</v>
      </c>
      <c r="F36" s="170" t="e">
        <f t="shared" si="1"/>
        <v>#NUM!</v>
      </c>
      <c r="G36" s="170" t="e">
        <f t="shared" si="1"/>
        <v>#NUM!</v>
      </c>
      <c r="H36" s="170" t="e">
        <f t="shared" si="1"/>
        <v>#NUM!</v>
      </c>
      <c r="I36" s="171" t="e">
        <f>AVERAGE(C36:E36)</f>
        <v>#NUM!</v>
      </c>
      <c r="J36" s="172" t="e">
        <f>AVERAGE(F36:H36)</f>
        <v>#NUM!</v>
      </c>
      <c r="K36" s="170" t="e">
        <f>STDEV(C36:E36)</f>
        <v>#NUM!</v>
      </c>
      <c r="L36" s="170" t="e">
        <f>STDEV(F36:H36)</f>
        <v>#NUM!</v>
      </c>
      <c r="M36" s="170" t="e">
        <f>100*K36/I36</f>
        <v>#NUM!</v>
      </c>
      <c r="N36" s="170" t="e">
        <f>100*L36/J36</f>
        <v>#NUM!</v>
      </c>
      <c r="O36" s="10"/>
      <c r="P36" s="10"/>
      <c r="Q36" s="10"/>
      <c r="R36" s="10"/>
      <c r="S36" s="10"/>
      <c r="T36" s="10"/>
      <c r="U36" s="10"/>
    </row>
    <row r="37" spans="1:21" ht="15" thickBot="1">
      <c r="A37" s="98"/>
      <c r="B37" s="142" t="s">
        <v>71</v>
      </c>
      <c r="C37" s="173" t="e">
        <f t="shared" ref="C37:H37" si="2">C35/C36</f>
        <v>#NUM!</v>
      </c>
      <c r="D37" s="173" t="e">
        <f t="shared" si="2"/>
        <v>#NUM!</v>
      </c>
      <c r="E37" s="173" t="e">
        <f t="shared" si="2"/>
        <v>#NUM!</v>
      </c>
      <c r="F37" s="173" t="e">
        <f t="shared" si="2"/>
        <v>#NUM!</v>
      </c>
      <c r="G37" s="173" t="e">
        <f t="shared" si="2"/>
        <v>#NUM!</v>
      </c>
      <c r="H37" s="173" t="e">
        <f t="shared" si="2"/>
        <v>#NUM!</v>
      </c>
      <c r="I37" s="174" t="e">
        <f>AVERAGE(C37:E37)</f>
        <v>#NUM!</v>
      </c>
      <c r="J37" s="175" t="e">
        <f>AVERAGE(F37:H37)</f>
        <v>#NUM!</v>
      </c>
      <c r="K37" s="173" t="e">
        <f>STDEV(C37:E37)</f>
        <v>#NUM!</v>
      </c>
      <c r="L37" s="173" t="e">
        <f>STDEV(F37:H37)</f>
        <v>#NUM!</v>
      </c>
      <c r="M37" s="10"/>
      <c r="N37" s="10"/>
      <c r="O37" s="10"/>
      <c r="P37" s="10"/>
      <c r="Q37" s="10"/>
      <c r="R37" s="10"/>
      <c r="S37" s="10"/>
      <c r="T37" s="10"/>
      <c r="U37" s="10"/>
    </row>
    <row r="38" spans="1:21" ht="15" thickTop="1">
      <c r="A38" s="98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</row>
    <row r="39" spans="1:21">
      <c r="A39" s="98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</row>
    <row r="40" spans="1:21">
      <c r="A40" s="98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</row>
    <row r="41" spans="1:21">
      <c r="A41" s="98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</row>
    <row r="42" spans="1:21">
      <c r="A42" s="98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</row>
    <row r="43" spans="1:21">
      <c r="A43" s="98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</row>
    <row r="44" spans="1:21">
      <c r="A44" s="98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</row>
    <row r="45" spans="1:21">
      <c r="A45" s="98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</row>
    <row r="46" spans="1:21">
      <c r="A46" s="98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</row>
    <row r="47" spans="1:21">
      <c r="A47" s="98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</row>
    <row r="48" spans="1:21">
      <c r="A48" s="98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</row>
    <row r="49" spans="1:21">
      <c r="A49" s="98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</row>
    <row r="50" spans="1:21">
      <c r="A50" s="98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</row>
    <row r="51" spans="1:21">
      <c r="A51" s="98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</row>
    <row r="52" spans="1:21">
      <c r="A52" s="98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</row>
    <row r="53" spans="1:21">
      <c r="A53" s="98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</row>
    <row r="54" spans="1:21">
      <c r="A54" s="98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</row>
    <row r="55" spans="1:21">
      <c r="A55" s="98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</row>
    <row r="56" spans="1:21">
      <c r="A56" s="98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</row>
    <row r="57" spans="1:21">
      <c r="A57" s="98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</row>
    <row r="58" spans="1:21">
      <c r="A58" s="98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</row>
    <row r="59" spans="1:21">
      <c r="A59" s="98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</row>
    <row r="60" spans="1:21">
      <c r="A60" s="98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</row>
  </sheetData>
  <phoneticPr fontId="1"/>
  <pageMargins left="0.75" right="0.75" top="1" bottom="1" header="0.51200000000000001" footer="0.51200000000000001"/>
  <pageSetup paperSize="9" scale="53"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E90"/>
  <sheetViews>
    <sheetView zoomScaleNormal="100" zoomScalePageLayoutView="80" workbookViewId="0">
      <selection activeCell="U9" sqref="U9"/>
    </sheetView>
  </sheetViews>
  <sheetFormatPr baseColWidth="10" defaultColWidth="9.19921875" defaultRowHeight="14"/>
  <cols>
    <col min="1" max="4" width="9.19921875" style="5"/>
    <col min="5" max="5" width="11" style="5" customWidth="1"/>
    <col min="6" max="7" width="9.19921875" style="5"/>
    <col min="8" max="8" width="7.796875" style="5" customWidth="1"/>
    <col min="9" max="18" width="9.19921875" style="5"/>
    <col min="19" max="19" width="10.59765625" style="5" bestFit="1" customWidth="1"/>
    <col min="20" max="16384" width="9.19921875" style="5"/>
  </cols>
  <sheetData>
    <row r="1" spans="1:31" customFormat="1" ht="15">
      <c r="A1" s="45" t="s">
        <v>336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</row>
    <row r="2" spans="1:31" customFormat="1">
      <c r="A2" s="45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</row>
    <row r="3" spans="1:31" customFormat="1">
      <c r="A3" s="45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</row>
    <row r="4" spans="1:31" customFormat="1">
      <c r="A4" s="3" t="s">
        <v>22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</row>
    <row r="5" spans="1:31" customFormat="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</row>
    <row r="6" spans="1:31" customFormat="1" ht="15" thickBot="1">
      <c r="A6" s="4" t="s">
        <v>21</v>
      </c>
      <c r="B6" s="1">
        <v>1</v>
      </c>
      <c r="C6" s="1">
        <v>2</v>
      </c>
      <c r="D6" s="1">
        <v>3</v>
      </c>
      <c r="E6" s="1">
        <v>4</v>
      </c>
      <c r="F6" s="1">
        <v>5</v>
      </c>
      <c r="G6" s="1">
        <v>6</v>
      </c>
      <c r="H6" s="1">
        <v>7</v>
      </c>
      <c r="I6" s="1">
        <v>8</v>
      </c>
      <c r="J6" s="1">
        <v>9</v>
      </c>
      <c r="K6" s="1">
        <v>10</v>
      </c>
      <c r="L6" s="1">
        <v>11</v>
      </c>
      <c r="M6" s="1">
        <v>12</v>
      </c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customFormat="1" ht="15" thickTop="1">
      <c r="A7" s="4" t="s">
        <v>8</v>
      </c>
      <c r="B7" s="50">
        <f t="array" ref="B7:M14">'Data Input'!B8:M15</f>
        <v>0</v>
      </c>
      <c r="C7" s="51">
        <v>0</v>
      </c>
      <c r="D7" s="51">
        <v>0</v>
      </c>
      <c r="E7" s="51">
        <v>0</v>
      </c>
      <c r="F7" s="51">
        <v>0</v>
      </c>
      <c r="G7" s="51">
        <v>0</v>
      </c>
      <c r="H7" s="51">
        <v>0</v>
      </c>
      <c r="I7" s="51">
        <v>0</v>
      </c>
      <c r="J7" s="51">
        <v>0</v>
      </c>
      <c r="K7" s="51">
        <v>0</v>
      </c>
      <c r="L7" s="51">
        <v>0</v>
      </c>
      <c r="M7" s="52">
        <v>0</v>
      </c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</row>
    <row r="8" spans="1:31" customFormat="1">
      <c r="A8" s="4" t="s">
        <v>9</v>
      </c>
      <c r="B8" s="53">
        <v>0</v>
      </c>
      <c r="C8" s="54">
        <v>0</v>
      </c>
      <c r="D8" s="54">
        <v>0</v>
      </c>
      <c r="E8" s="54">
        <v>0</v>
      </c>
      <c r="F8" s="54">
        <v>0</v>
      </c>
      <c r="G8" s="54">
        <v>0</v>
      </c>
      <c r="H8" s="54">
        <v>0</v>
      </c>
      <c r="I8" s="54">
        <v>0</v>
      </c>
      <c r="J8" s="54">
        <v>0</v>
      </c>
      <c r="K8" s="54">
        <v>0</v>
      </c>
      <c r="L8" s="54">
        <v>0</v>
      </c>
      <c r="M8" s="55">
        <v>0</v>
      </c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</row>
    <row r="9" spans="1:31" customFormat="1">
      <c r="A9" s="4" t="s">
        <v>10</v>
      </c>
      <c r="B9" s="53">
        <v>0</v>
      </c>
      <c r="C9" s="54">
        <v>0</v>
      </c>
      <c r="D9" s="54">
        <v>0</v>
      </c>
      <c r="E9" s="54">
        <v>0</v>
      </c>
      <c r="F9" s="54">
        <v>0</v>
      </c>
      <c r="G9" s="54">
        <v>0</v>
      </c>
      <c r="H9" s="54">
        <v>0</v>
      </c>
      <c r="I9" s="54">
        <v>0</v>
      </c>
      <c r="J9" s="54">
        <v>0</v>
      </c>
      <c r="K9" s="54">
        <v>0</v>
      </c>
      <c r="L9" s="54">
        <v>0</v>
      </c>
      <c r="M9" s="55">
        <v>0</v>
      </c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</row>
    <row r="10" spans="1:31" customFormat="1">
      <c r="A10" s="4" t="s">
        <v>11</v>
      </c>
      <c r="B10" s="53">
        <v>0</v>
      </c>
      <c r="C10" s="54">
        <v>0</v>
      </c>
      <c r="D10" s="54">
        <v>0</v>
      </c>
      <c r="E10" s="54">
        <v>0</v>
      </c>
      <c r="F10" s="54">
        <v>0</v>
      </c>
      <c r="G10" s="54">
        <v>0</v>
      </c>
      <c r="H10" s="54">
        <v>0</v>
      </c>
      <c r="I10" s="54">
        <v>0</v>
      </c>
      <c r="J10" s="54">
        <v>0</v>
      </c>
      <c r="K10" s="54">
        <v>0</v>
      </c>
      <c r="L10" s="54">
        <v>0</v>
      </c>
      <c r="M10" s="55">
        <v>0</v>
      </c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</row>
    <row r="11" spans="1:31" customFormat="1">
      <c r="A11" s="4" t="s">
        <v>12</v>
      </c>
      <c r="B11" s="53">
        <v>0</v>
      </c>
      <c r="C11" s="54">
        <v>0</v>
      </c>
      <c r="D11" s="54">
        <v>0</v>
      </c>
      <c r="E11" s="54">
        <v>0</v>
      </c>
      <c r="F11" s="54">
        <v>0</v>
      </c>
      <c r="G11" s="54">
        <v>0</v>
      </c>
      <c r="H11" s="54">
        <v>0</v>
      </c>
      <c r="I11" s="54">
        <v>0</v>
      </c>
      <c r="J11" s="54">
        <v>0</v>
      </c>
      <c r="K11" s="54">
        <v>0</v>
      </c>
      <c r="L11" s="54">
        <v>0</v>
      </c>
      <c r="M11" s="55">
        <v>0</v>
      </c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</row>
    <row r="12" spans="1:31" customFormat="1">
      <c r="A12" s="4" t="s">
        <v>13</v>
      </c>
      <c r="B12" s="53">
        <v>0</v>
      </c>
      <c r="C12" s="54">
        <v>0</v>
      </c>
      <c r="D12" s="54">
        <v>0</v>
      </c>
      <c r="E12" s="54">
        <v>0</v>
      </c>
      <c r="F12" s="54">
        <v>0</v>
      </c>
      <c r="G12" s="54">
        <v>0</v>
      </c>
      <c r="H12" s="54">
        <v>0</v>
      </c>
      <c r="I12" s="54">
        <v>0</v>
      </c>
      <c r="J12" s="54">
        <v>0</v>
      </c>
      <c r="K12" s="54">
        <v>0</v>
      </c>
      <c r="L12" s="54">
        <v>0</v>
      </c>
      <c r="M12" s="55">
        <v>0</v>
      </c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</row>
    <row r="13" spans="1:31" customFormat="1">
      <c r="A13" s="4" t="s">
        <v>14</v>
      </c>
      <c r="B13" s="53">
        <v>0</v>
      </c>
      <c r="C13" s="54">
        <v>0</v>
      </c>
      <c r="D13" s="54">
        <v>0</v>
      </c>
      <c r="E13" s="54">
        <v>0</v>
      </c>
      <c r="F13" s="54">
        <v>0</v>
      </c>
      <c r="G13" s="54">
        <v>0</v>
      </c>
      <c r="H13" s="54">
        <v>0</v>
      </c>
      <c r="I13" s="54">
        <v>0</v>
      </c>
      <c r="J13" s="54">
        <v>0</v>
      </c>
      <c r="K13" s="54">
        <v>0</v>
      </c>
      <c r="L13" s="54">
        <v>0</v>
      </c>
      <c r="M13" s="55">
        <v>0</v>
      </c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</row>
    <row r="14" spans="1:31" customFormat="1" ht="15" thickBot="1">
      <c r="A14" s="4" t="s">
        <v>15</v>
      </c>
      <c r="B14" s="56">
        <v>0</v>
      </c>
      <c r="C14" s="57">
        <v>0</v>
      </c>
      <c r="D14" s="57">
        <v>0</v>
      </c>
      <c r="E14" s="57">
        <v>0</v>
      </c>
      <c r="F14" s="57">
        <v>0</v>
      </c>
      <c r="G14" s="57">
        <v>0</v>
      </c>
      <c r="H14" s="57">
        <v>0</v>
      </c>
      <c r="I14" s="57">
        <v>0</v>
      </c>
      <c r="J14" s="57">
        <v>0</v>
      </c>
      <c r="K14" s="57">
        <v>0</v>
      </c>
      <c r="L14" s="57">
        <v>0</v>
      </c>
      <c r="M14" s="58">
        <v>0</v>
      </c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</row>
    <row r="15" spans="1:31" customFormat="1" ht="15" thickTop="1">
      <c r="A15" s="3" t="s">
        <v>16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</row>
    <row r="16" spans="1:31" customFormat="1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</row>
    <row r="17" spans="1:31" customFormat="1" ht="15" thickBot="1">
      <c r="A17" s="4" t="s">
        <v>26</v>
      </c>
      <c r="B17" s="1">
        <v>1</v>
      </c>
      <c r="C17" s="1">
        <v>2</v>
      </c>
      <c r="D17" s="1">
        <v>3</v>
      </c>
      <c r="E17" s="1">
        <v>4</v>
      </c>
      <c r="F17" s="1">
        <v>5</v>
      </c>
      <c r="G17" s="1">
        <v>6</v>
      </c>
      <c r="H17" s="1">
        <v>7</v>
      </c>
      <c r="I17" s="1">
        <v>8</v>
      </c>
      <c r="J17" s="1">
        <v>9</v>
      </c>
      <c r="K17" s="1">
        <v>10</v>
      </c>
      <c r="L17" s="1">
        <v>11</v>
      </c>
      <c r="M17" s="1">
        <v>12</v>
      </c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</row>
    <row r="18" spans="1:31" customFormat="1">
      <c r="A18" s="4" t="s">
        <v>0</v>
      </c>
      <c r="B18" s="59">
        <f t="array" ref="B18:M25">'Data Input'!B19:M26</f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  <c r="H18" s="60">
        <v>0</v>
      </c>
      <c r="I18" s="60">
        <v>0</v>
      </c>
      <c r="J18" s="60">
        <v>0</v>
      </c>
      <c r="K18" s="60">
        <v>0</v>
      </c>
      <c r="L18" s="60">
        <v>0</v>
      </c>
      <c r="M18" s="61">
        <v>0</v>
      </c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</row>
    <row r="19" spans="1:31" customFormat="1">
      <c r="A19" s="4" t="s">
        <v>1</v>
      </c>
      <c r="B19" s="62">
        <v>0</v>
      </c>
      <c r="C19" s="63">
        <v>0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4">
        <v>0</v>
      </c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</row>
    <row r="20" spans="1:31" customFormat="1">
      <c r="A20" s="4" t="s">
        <v>2</v>
      </c>
      <c r="B20" s="62">
        <v>0</v>
      </c>
      <c r="C20" s="63">
        <v>0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4">
        <v>0</v>
      </c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</row>
    <row r="21" spans="1:31" customFormat="1">
      <c r="A21" s="4" t="s">
        <v>3</v>
      </c>
      <c r="B21" s="62">
        <v>0</v>
      </c>
      <c r="C21" s="63">
        <v>0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0</v>
      </c>
      <c r="M21" s="64">
        <v>0</v>
      </c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</row>
    <row r="22" spans="1:31" customFormat="1">
      <c r="A22" s="4" t="s">
        <v>4</v>
      </c>
      <c r="B22" s="62">
        <v>0</v>
      </c>
      <c r="C22" s="63">
        <v>0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4">
        <v>0</v>
      </c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</row>
    <row r="23" spans="1:31" customFormat="1">
      <c r="A23" s="4" t="s">
        <v>5</v>
      </c>
      <c r="B23" s="62">
        <v>0</v>
      </c>
      <c r="C23" s="63">
        <v>0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0</v>
      </c>
      <c r="M23" s="64">
        <v>0</v>
      </c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</row>
    <row r="24" spans="1:31" customFormat="1">
      <c r="A24" s="4" t="s">
        <v>6</v>
      </c>
      <c r="B24" s="62">
        <v>0</v>
      </c>
      <c r="C24" s="63">
        <v>0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0</v>
      </c>
      <c r="M24" s="64">
        <v>0</v>
      </c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</row>
    <row r="25" spans="1:31" customFormat="1" ht="15" thickBot="1">
      <c r="A25" s="4" t="s">
        <v>7</v>
      </c>
      <c r="B25" s="65">
        <v>0</v>
      </c>
      <c r="C25" s="66">
        <v>0</v>
      </c>
      <c r="D25" s="66">
        <v>0</v>
      </c>
      <c r="E25" s="66">
        <v>0</v>
      </c>
      <c r="F25" s="66">
        <v>0</v>
      </c>
      <c r="G25" s="66">
        <v>0</v>
      </c>
      <c r="H25" s="66">
        <v>0</v>
      </c>
      <c r="I25" s="66">
        <v>0</v>
      </c>
      <c r="J25" s="66">
        <v>0</v>
      </c>
      <c r="K25" s="66">
        <v>0</v>
      </c>
      <c r="L25" s="66">
        <v>0</v>
      </c>
      <c r="M25" s="67">
        <v>0</v>
      </c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</row>
    <row r="26" spans="1:31" customFormat="1">
      <c r="A26" s="1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</row>
    <row r="27" spans="1:31" customFormat="1">
      <c r="A27" s="1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</row>
    <row r="28" spans="1:31" ht="15">
      <c r="A28" s="45" t="s">
        <v>336</v>
      </c>
      <c r="B28" s="45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</row>
    <row r="29" spans="1:31">
      <c r="A29" s="10"/>
      <c r="B29" s="10"/>
      <c r="C29" s="176" t="s">
        <v>91</v>
      </c>
      <c r="D29" s="157"/>
      <c r="E29" s="157" t="s">
        <v>92</v>
      </c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</row>
    <row r="30" spans="1:31">
      <c r="A30" s="8" t="s">
        <v>20</v>
      </c>
      <c r="B30" s="177" t="s">
        <v>93</v>
      </c>
      <c r="C30" s="178" t="s">
        <v>21</v>
      </c>
      <c r="D30" s="157" t="s">
        <v>26</v>
      </c>
      <c r="E30" s="157" t="s">
        <v>18</v>
      </c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</row>
    <row r="31" spans="1:31">
      <c r="A31" s="2"/>
      <c r="B31" s="179" t="s">
        <v>27</v>
      </c>
      <c r="C31" s="180">
        <f>AVERAGE(B8:D8)</f>
        <v>0</v>
      </c>
      <c r="D31" s="181">
        <f>AVERAGE(B19:D19)</f>
        <v>0</v>
      </c>
      <c r="E31" s="182" t="e">
        <f>D31/C31</f>
        <v>#DIV/0!</v>
      </c>
      <c r="F31" s="10"/>
      <c r="G31" s="3" t="s">
        <v>17</v>
      </c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</row>
    <row r="32" spans="1:31" ht="15" thickBot="1">
      <c r="A32" s="2"/>
      <c r="B32" s="183" t="s">
        <v>28</v>
      </c>
      <c r="C32" s="184">
        <f>AVERAGE(E8:G8)</f>
        <v>0</v>
      </c>
      <c r="D32" s="185">
        <f>AVERAGE(E19:G19)</f>
        <v>0</v>
      </c>
      <c r="E32" s="186" t="e">
        <f>D32/C32</f>
        <v>#DIV/0!</v>
      </c>
      <c r="F32" s="10"/>
      <c r="G32" s="10"/>
      <c r="H32" s="187" t="s">
        <v>21</v>
      </c>
      <c r="I32" s="188" t="s">
        <v>18</v>
      </c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</row>
    <row r="33" spans="1:31">
      <c r="A33" s="2"/>
      <c r="B33" s="183" t="s">
        <v>29</v>
      </c>
      <c r="C33" s="184">
        <f>AVERAGE(H8:J8)</f>
        <v>0</v>
      </c>
      <c r="D33" s="185">
        <f>AVERAGE(H19:J19)</f>
        <v>0</v>
      </c>
      <c r="E33" s="186" t="e">
        <f>D33/C33</f>
        <v>#DIV/0!</v>
      </c>
      <c r="F33" s="10"/>
      <c r="G33" s="189" t="s">
        <v>20</v>
      </c>
      <c r="H33" s="190">
        <v>1</v>
      </c>
      <c r="I33" s="191" t="e">
        <f>E35</f>
        <v>#DIV/0!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</row>
    <row r="34" spans="1:31" ht="15" thickBot="1">
      <c r="A34" s="2"/>
      <c r="B34" s="192" t="s">
        <v>30</v>
      </c>
      <c r="C34" s="193">
        <f>AVERAGE(K8:M8)</f>
        <v>0</v>
      </c>
      <c r="D34" s="194">
        <f>AVERAGE(K19:M19)</f>
        <v>0</v>
      </c>
      <c r="E34" s="195" t="e">
        <f>D34/C34</f>
        <v>#DIV/0!</v>
      </c>
      <c r="F34" s="10"/>
      <c r="G34" s="196" t="s">
        <v>19</v>
      </c>
      <c r="H34" s="197">
        <v>1</v>
      </c>
      <c r="I34" s="198" t="e">
        <f>E42</f>
        <v>#DIV/0!</v>
      </c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</row>
    <row r="35" spans="1:31">
      <c r="A35" s="2"/>
      <c r="B35" s="199"/>
      <c r="C35" s="10"/>
      <c r="D35" s="200" t="s">
        <v>337</v>
      </c>
      <c r="E35" s="201" t="e">
        <f>AVERAGE(E31:E33)</f>
        <v>#DIV/0!</v>
      </c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</row>
    <row r="36" spans="1:31">
      <c r="A36" s="10"/>
      <c r="B36" s="73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</row>
    <row r="37" spans="1:31">
      <c r="A37" s="9" t="s">
        <v>19</v>
      </c>
      <c r="B37" s="177" t="s">
        <v>93</v>
      </c>
      <c r="C37" s="178" t="s">
        <v>21</v>
      </c>
      <c r="D37" s="202" t="s">
        <v>26</v>
      </c>
      <c r="E37" s="157" t="s">
        <v>18</v>
      </c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</row>
    <row r="38" spans="1:31">
      <c r="A38" s="10"/>
      <c r="B38" s="179" t="s">
        <v>27</v>
      </c>
      <c r="C38" s="180">
        <f>AVERAGE(B10:D10)</f>
        <v>0</v>
      </c>
      <c r="D38" s="181">
        <f>AVERAGE(B21:D21)</f>
        <v>0</v>
      </c>
      <c r="E38" s="182" t="e">
        <f>D38/C38</f>
        <v>#DIV/0!</v>
      </c>
      <c r="F38" s="10"/>
      <c r="G38" s="203"/>
      <c r="H38" s="203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</row>
    <row r="39" spans="1:31" ht="15" thickBot="1">
      <c r="A39" s="10"/>
      <c r="B39" s="183" t="s">
        <v>28</v>
      </c>
      <c r="C39" s="184">
        <f>AVERAGE(E10:G10)</f>
        <v>0</v>
      </c>
      <c r="D39" s="185">
        <f>AVERAGE(E21:G21)</f>
        <v>0</v>
      </c>
      <c r="E39" s="186" t="e">
        <f>D39/C39</f>
        <v>#DIV/0!</v>
      </c>
      <c r="F39" s="10"/>
      <c r="G39" s="10"/>
      <c r="H39" s="10" t="s">
        <v>95</v>
      </c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</row>
    <row r="40" spans="1:31">
      <c r="A40" s="10"/>
      <c r="B40" s="183" t="s">
        <v>29</v>
      </c>
      <c r="C40" s="184">
        <f>AVERAGE(H10:J10)</f>
        <v>0</v>
      </c>
      <c r="D40" s="185">
        <f>AVERAGE(H21:J21)</f>
        <v>0</v>
      </c>
      <c r="E40" s="186" t="e">
        <f>D40/C40</f>
        <v>#DIV/0!</v>
      </c>
      <c r="F40" s="10"/>
      <c r="G40" s="10"/>
      <c r="H40" s="204" t="e">
        <f t="array" ref="H40:I41">MINVERSE(H33:I34)</f>
        <v>#DIV/0!</v>
      </c>
      <c r="I40" s="205" t="e">
        <v>#DIV/0!</v>
      </c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</row>
    <row r="41" spans="1:31" ht="15" thickBot="1">
      <c r="A41" s="9"/>
      <c r="B41" s="192" t="s">
        <v>30</v>
      </c>
      <c r="C41" s="193">
        <f>AVERAGE(K10:M10)</f>
        <v>0</v>
      </c>
      <c r="D41" s="194">
        <f>AVERAGE(K21:M21)</f>
        <v>0</v>
      </c>
      <c r="E41" s="186" t="e">
        <f>D41/C41</f>
        <v>#DIV/0!</v>
      </c>
      <c r="F41" s="10"/>
      <c r="G41" s="10"/>
      <c r="H41" s="206" t="e">
        <v>#DIV/0!</v>
      </c>
      <c r="I41" s="207" t="e">
        <v>#DIV/0!</v>
      </c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</row>
    <row r="42" spans="1:31">
      <c r="A42" s="10"/>
      <c r="B42" s="199"/>
      <c r="C42" s="10"/>
      <c r="D42" s="200" t="s">
        <v>337</v>
      </c>
      <c r="E42" s="208" t="e">
        <f>AVERAGE(E38:E40)</f>
        <v>#DIV/0!</v>
      </c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</row>
    <row r="43" spans="1:31">
      <c r="A43" s="10"/>
      <c r="B43" s="199"/>
      <c r="C43" s="10"/>
      <c r="D43" s="199"/>
      <c r="E43" s="121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</row>
    <row r="44" spans="1:31">
      <c r="A44" s="10"/>
      <c r="B44" s="199"/>
      <c r="C44" s="10"/>
      <c r="D44" s="199"/>
      <c r="E44" s="121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</row>
    <row r="45" spans="1:31">
      <c r="A45" s="10"/>
      <c r="B45" s="199"/>
      <c r="C45" s="10"/>
      <c r="D45" s="199"/>
      <c r="E45" s="121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</row>
    <row r="46" spans="1:31">
      <c r="A46" s="10"/>
      <c r="B46" s="199"/>
      <c r="C46" s="10"/>
      <c r="D46" s="199"/>
      <c r="E46" s="121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</row>
    <row r="47" spans="1:31">
      <c r="A47" s="10"/>
      <c r="B47" s="199"/>
      <c r="C47" s="10"/>
      <c r="D47" s="199"/>
      <c r="E47" s="121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</row>
    <row r="48" spans="1:31">
      <c r="A48" s="10"/>
      <c r="B48" s="199"/>
      <c r="C48" s="10"/>
      <c r="D48" s="199"/>
      <c r="E48" s="121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</row>
    <row r="49" spans="1:31">
      <c r="A49" s="10"/>
      <c r="B49" s="199"/>
      <c r="C49" s="10"/>
      <c r="D49" s="199"/>
      <c r="E49" s="121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</row>
    <row r="50" spans="1:31">
      <c r="A50" s="10"/>
      <c r="B50" s="199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</row>
    <row r="51" spans="1:31">
      <c r="A51" s="10"/>
      <c r="B51" s="199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</row>
    <row r="52" spans="1:31" ht="15" thickBot="1">
      <c r="A52" s="10"/>
      <c r="B52" s="199"/>
      <c r="C52" s="10"/>
      <c r="D52" s="199"/>
      <c r="E52" s="121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</row>
    <row r="53" spans="1:31" ht="15" thickTop="1">
      <c r="A53" s="10"/>
      <c r="B53" s="209" t="s">
        <v>83</v>
      </c>
      <c r="C53" s="210" t="s">
        <v>20</v>
      </c>
      <c r="D53" s="210" t="s">
        <v>19</v>
      </c>
      <c r="E53" s="211" t="s">
        <v>94</v>
      </c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</row>
    <row r="54" spans="1:31">
      <c r="A54" s="10"/>
      <c r="B54" s="212" t="s">
        <v>32</v>
      </c>
      <c r="C54" s="213" t="e">
        <f>AVERAGE(C74:E74)</f>
        <v>#DIV/0!</v>
      </c>
      <c r="D54" s="184" t="e">
        <f>AVERAGE(C75:E75)</f>
        <v>#DIV/0!</v>
      </c>
      <c r="E54" s="214" t="e">
        <f>100*ABS(D54/C54)</f>
        <v>#DIV/0!</v>
      </c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</row>
    <row r="55" spans="1:31">
      <c r="A55" s="10"/>
      <c r="B55" s="212" t="s">
        <v>33</v>
      </c>
      <c r="C55" s="215" t="e">
        <f>AVERAGE(F74:H74)</f>
        <v>#DIV/0!</v>
      </c>
      <c r="D55" s="184" t="e">
        <f>AVERAGE(F75:H75)</f>
        <v>#DIV/0!</v>
      </c>
      <c r="E55" s="216" t="e">
        <f>100*ABS(D55/C55)</f>
        <v>#DIV/0!</v>
      </c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</row>
    <row r="56" spans="1:31">
      <c r="A56" s="10"/>
      <c r="B56" s="212" t="s">
        <v>34</v>
      </c>
      <c r="C56" s="215" t="e">
        <f>AVERAGE(I74:K74)</f>
        <v>#DIV/0!</v>
      </c>
      <c r="D56" s="184" t="e">
        <f>AVERAGE(I75:K75)</f>
        <v>#DIV/0!</v>
      </c>
      <c r="E56" s="216" t="e">
        <f>100*ABS(D56/C56)</f>
        <v>#DIV/0!</v>
      </c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</row>
    <row r="57" spans="1:31">
      <c r="A57" s="10"/>
      <c r="B57" s="212" t="s">
        <v>35</v>
      </c>
      <c r="C57" s="217" t="e">
        <f>AVERAGE(L74:N74)</f>
        <v>#DIV/0!</v>
      </c>
      <c r="D57" s="184" t="e">
        <f>AVERAGE(L75:N75)</f>
        <v>#DIV/0!</v>
      </c>
      <c r="E57" s="216" t="e">
        <f>100*ABS(D57/C57)</f>
        <v>#DIV/0!</v>
      </c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pans="1:31">
      <c r="A58" s="10"/>
      <c r="B58" s="212" t="s">
        <v>36</v>
      </c>
      <c r="C58" s="184" t="e">
        <f>AVERAGE(C76:E76)</f>
        <v>#DIV/0!</v>
      </c>
      <c r="D58" s="213" t="e">
        <f>AVERAGE(C77:E77)</f>
        <v>#DIV/0!</v>
      </c>
      <c r="E58" s="216" t="e">
        <f>100*ABS(C58/D58)</f>
        <v>#DIV/0!</v>
      </c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</row>
    <row r="59" spans="1:31">
      <c r="A59" s="10"/>
      <c r="B59" s="212" t="s">
        <v>37</v>
      </c>
      <c r="C59" s="184" t="e">
        <f>AVERAGE(F76:H76)</f>
        <v>#DIV/0!</v>
      </c>
      <c r="D59" s="215" t="e">
        <f>AVERAGE(F77:H77)</f>
        <v>#DIV/0!</v>
      </c>
      <c r="E59" s="216" t="e">
        <f>100*ABS(C59/D59)</f>
        <v>#DIV/0!</v>
      </c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</row>
    <row r="60" spans="1:31">
      <c r="A60" s="10"/>
      <c r="B60" s="212" t="s">
        <v>38</v>
      </c>
      <c r="C60" s="184" t="e">
        <f>AVERAGE(I76:K76)</f>
        <v>#DIV/0!</v>
      </c>
      <c r="D60" s="215" t="e">
        <f>AVERAGE(I77:K77)</f>
        <v>#DIV/0!</v>
      </c>
      <c r="E60" s="216" t="e">
        <f>100*ABS(C60/D60)</f>
        <v>#DIV/0!</v>
      </c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</row>
    <row r="61" spans="1:31" ht="15" thickBot="1">
      <c r="A61" s="10"/>
      <c r="B61" s="218" t="s">
        <v>39</v>
      </c>
      <c r="C61" s="219" t="e">
        <f>AVERAGE(L76:N76)</f>
        <v>#DIV/0!</v>
      </c>
      <c r="D61" s="220" t="e">
        <f>AVERAGE(L77:N77)</f>
        <v>#DIV/0!</v>
      </c>
      <c r="E61" s="221" t="e">
        <f>100*ABS(C61/D61)</f>
        <v>#DIV/0!</v>
      </c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pans="1:31" ht="16" thickTop="1" thickBo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pans="1:31" ht="15" thickTop="1">
      <c r="A63" s="10"/>
      <c r="B63" s="209" t="s">
        <v>83</v>
      </c>
      <c r="C63" s="210" t="s">
        <v>20</v>
      </c>
      <c r="D63" s="210" t="s">
        <v>19</v>
      </c>
      <c r="E63" s="211" t="s">
        <v>84</v>
      </c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pans="1:31">
      <c r="A64" s="10"/>
      <c r="B64" s="222" t="s">
        <v>40</v>
      </c>
      <c r="C64" s="184" t="e">
        <f>AVERAGE(C80:E80)</f>
        <v>#DIV/0!</v>
      </c>
      <c r="D64" s="184" t="e">
        <f>AVERAGE(C81:E81)</f>
        <v>#DIV/0!</v>
      </c>
      <c r="E64" s="223" t="e">
        <f>ABS(C64/D64)</f>
        <v>#DIV/0!</v>
      </c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pans="1:31" ht="15" thickBot="1">
      <c r="A65" s="10"/>
      <c r="B65" s="224" t="s">
        <v>70</v>
      </c>
      <c r="C65" s="219" t="e">
        <f>AVERAGE(F80:H80)</f>
        <v>#DIV/0!</v>
      </c>
      <c r="D65" s="219" t="e">
        <f>AVERAGE(F81:H81)</f>
        <v>#DIV/0!</v>
      </c>
      <c r="E65" s="225" t="e">
        <f>ABS(C65/D65)</f>
        <v>#DIV/0!</v>
      </c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pans="1:31" ht="15" thickTop="1">
      <c r="A66" s="10"/>
      <c r="B66" s="199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pans="1:31">
      <c r="A67" s="10"/>
      <c r="B67" s="199"/>
      <c r="C67" s="10"/>
      <c r="D67" s="199"/>
      <c r="E67" s="121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pans="1:31">
      <c r="A68" s="10"/>
      <c r="B68" s="199"/>
      <c r="C68" s="10"/>
      <c r="D68" s="199"/>
      <c r="E68" s="121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pans="1:31">
      <c r="A69" s="10"/>
      <c r="B69" s="199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pans="1:31">
      <c r="A70" s="10"/>
      <c r="B70" s="199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pans="1:31">
      <c r="A71" s="10"/>
      <c r="B71" s="199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pans="1:31">
      <c r="A72" s="75"/>
      <c r="B72" s="10"/>
      <c r="C72" s="74">
        <v>1</v>
      </c>
      <c r="D72" s="74">
        <v>2</v>
      </c>
      <c r="E72" s="74">
        <v>3</v>
      </c>
      <c r="F72" s="74">
        <v>4</v>
      </c>
      <c r="G72" s="74">
        <v>5</v>
      </c>
      <c r="H72" s="74">
        <v>6</v>
      </c>
      <c r="I72" s="74">
        <v>7</v>
      </c>
      <c r="J72" s="74">
        <v>8</v>
      </c>
      <c r="K72" s="74">
        <v>9</v>
      </c>
      <c r="L72" s="74">
        <v>10</v>
      </c>
      <c r="M72" s="74">
        <v>11</v>
      </c>
      <c r="N72" s="74">
        <v>12</v>
      </c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pans="1:31" s="7" customFormat="1">
      <c r="A73" s="199"/>
      <c r="B73" s="1"/>
      <c r="C73" s="226" t="s">
        <v>27</v>
      </c>
      <c r="D73" s="226" t="s">
        <v>27</v>
      </c>
      <c r="E73" s="226" t="s">
        <v>27</v>
      </c>
      <c r="F73" s="226" t="s">
        <v>82</v>
      </c>
      <c r="G73" s="226" t="s">
        <v>82</v>
      </c>
      <c r="H73" s="226" t="s">
        <v>82</v>
      </c>
      <c r="I73" s="226" t="s">
        <v>29</v>
      </c>
      <c r="J73" s="226" t="s">
        <v>29</v>
      </c>
      <c r="K73" s="226" t="s">
        <v>29</v>
      </c>
      <c r="L73" s="226" t="s">
        <v>30</v>
      </c>
      <c r="M73" s="226" t="s">
        <v>30</v>
      </c>
      <c r="N73" s="226" t="s">
        <v>30</v>
      </c>
      <c r="O73" s="10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</row>
    <row r="74" spans="1:31">
      <c r="A74" s="75" t="s">
        <v>9</v>
      </c>
      <c r="B74" s="165" t="s">
        <v>20</v>
      </c>
      <c r="C74" s="166" t="e">
        <f>B8*$H$40+B19*$H$41</f>
        <v>#DIV/0!</v>
      </c>
      <c r="D74" s="166" t="e">
        <f>C8*$H$40+C19*$H$41</f>
        <v>#DIV/0!</v>
      </c>
      <c r="E74" s="166" t="e">
        <f>D8*$H$40+D19*$H$41</f>
        <v>#DIV/0!</v>
      </c>
      <c r="F74" s="166" t="e">
        <f t="shared" ref="F74:N74" si="0">E8*$H$40+E19*$H$41</f>
        <v>#DIV/0!</v>
      </c>
      <c r="G74" s="166" t="e">
        <f t="shared" si="0"/>
        <v>#DIV/0!</v>
      </c>
      <c r="H74" s="166" t="e">
        <f t="shared" si="0"/>
        <v>#DIV/0!</v>
      </c>
      <c r="I74" s="166" t="e">
        <f t="shared" si="0"/>
        <v>#DIV/0!</v>
      </c>
      <c r="J74" s="166" t="e">
        <f t="shared" si="0"/>
        <v>#DIV/0!</v>
      </c>
      <c r="K74" s="166" t="e">
        <f t="shared" si="0"/>
        <v>#DIV/0!</v>
      </c>
      <c r="L74" s="166" t="e">
        <f t="shared" si="0"/>
        <v>#DIV/0!</v>
      </c>
      <c r="M74" s="166" t="e">
        <f t="shared" si="0"/>
        <v>#DIV/0!</v>
      </c>
      <c r="N74" s="166" t="e">
        <f t="shared" si="0"/>
        <v>#DIV/0!</v>
      </c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pans="1:31">
      <c r="A75" s="72" t="s">
        <v>79</v>
      </c>
      <c r="B75" s="169" t="s">
        <v>19</v>
      </c>
      <c r="C75" s="170" t="e">
        <f>B8*$I$40+B19*$I$41</f>
        <v>#DIV/0!</v>
      </c>
      <c r="D75" s="170" t="e">
        <f>C8*$I$40+C19*$I$41</f>
        <v>#DIV/0!</v>
      </c>
      <c r="E75" s="170" t="e">
        <f>D8*$I$40+D19*$I$41</f>
        <v>#DIV/0!</v>
      </c>
      <c r="F75" s="170" t="e">
        <f t="shared" ref="F75:N75" si="1">E8*$I$40+E19*$I$41</f>
        <v>#DIV/0!</v>
      </c>
      <c r="G75" s="170" t="e">
        <f t="shared" si="1"/>
        <v>#DIV/0!</v>
      </c>
      <c r="H75" s="170" t="e">
        <f t="shared" si="1"/>
        <v>#DIV/0!</v>
      </c>
      <c r="I75" s="170" t="e">
        <f t="shared" si="1"/>
        <v>#DIV/0!</v>
      </c>
      <c r="J75" s="170" t="e">
        <f t="shared" si="1"/>
        <v>#DIV/0!</v>
      </c>
      <c r="K75" s="170" t="e">
        <f t="shared" si="1"/>
        <v>#DIV/0!</v>
      </c>
      <c r="L75" s="170" t="e">
        <f t="shared" si="1"/>
        <v>#DIV/0!</v>
      </c>
      <c r="M75" s="170" t="e">
        <f t="shared" si="1"/>
        <v>#DIV/0!</v>
      </c>
      <c r="N75" s="170" t="e">
        <f t="shared" si="1"/>
        <v>#DIV/0!</v>
      </c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pans="1:31">
      <c r="A76" s="75" t="s">
        <v>11</v>
      </c>
      <c r="B76" s="165" t="s">
        <v>20</v>
      </c>
      <c r="C76" s="166" t="e">
        <f>B10*$H$40+B21*$H$41</f>
        <v>#DIV/0!</v>
      </c>
      <c r="D76" s="166" t="e">
        <f>C10*$H$40+C21*$H$41</f>
        <v>#DIV/0!</v>
      </c>
      <c r="E76" s="166" t="e">
        <f>D10*$H$40+D21*$H$41</f>
        <v>#DIV/0!</v>
      </c>
      <c r="F76" s="166" t="e">
        <f t="shared" ref="F76:N76" si="2">E10*$H$40+E21*$H$41</f>
        <v>#DIV/0!</v>
      </c>
      <c r="G76" s="166" t="e">
        <f t="shared" si="2"/>
        <v>#DIV/0!</v>
      </c>
      <c r="H76" s="166" t="e">
        <f t="shared" si="2"/>
        <v>#DIV/0!</v>
      </c>
      <c r="I76" s="166" t="e">
        <f t="shared" si="2"/>
        <v>#DIV/0!</v>
      </c>
      <c r="J76" s="166" t="e">
        <f t="shared" si="2"/>
        <v>#DIV/0!</v>
      </c>
      <c r="K76" s="166" t="e">
        <f t="shared" si="2"/>
        <v>#DIV/0!</v>
      </c>
      <c r="L76" s="166" t="e">
        <f t="shared" si="2"/>
        <v>#DIV/0!</v>
      </c>
      <c r="M76" s="166" t="e">
        <f t="shared" si="2"/>
        <v>#DIV/0!</v>
      </c>
      <c r="N76" s="166" t="e">
        <f t="shared" si="2"/>
        <v>#DIV/0!</v>
      </c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pans="1:31">
      <c r="A77" s="9" t="s">
        <v>80</v>
      </c>
      <c r="B77" s="9" t="s">
        <v>19</v>
      </c>
      <c r="C77" s="227" t="e">
        <f>B10*$I$40+B21*$I$41</f>
        <v>#DIV/0!</v>
      </c>
      <c r="D77" s="227" t="e">
        <f>C10*$I$40+C21*$I$41</f>
        <v>#DIV/0!</v>
      </c>
      <c r="E77" s="227" t="e">
        <f>D10*$I$40+D21*$I$41</f>
        <v>#DIV/0!</v>
      </c>
      <c r="F77" s="227" t="e">
        <f t="shared" ref="F77:N77" si="3">E10*$I$40+E21*$I$41</f>
        <v>#DIV/0!</v>
      </c>
      <c r="G77" s="227" t="e">
        <f t="shared" si="3"/>
        <v>#DIV/0!</v>
      </c>
      <c r="H77" s="227" t="e">
        <f t="shared" si="3"/>
        <v>#DIV/0!</v>
      </c>
      <c r="I77" s="227" t="e">
        <f t="shared" si="3"/>
        <v>#DIV/0!</v>
      </c>
      <c r="J77" s="227" t="e">
        <f t="shared" si="3"/>
        <v>#DIV/0!</v>
      </c>
      <c r="K77" s="227" t="e">
        <f t="shared" si="3"/>
        <v>#DIV/0!</v>
      </c>
      <c r="L77" s="227" t="e">
        <f t="shared" si="3"/>
        <v>#DIV/0!</v>
      </c>
      <c r="M77" s="227" t="e">
        <f t="shared" si="3"/>
        <v>#DIV/0!</v>
      </c>
      <c r="N77" s="227" t="e">
        <f t="shared" si="3"/>
        <v>#DIV/0!</v>
      </c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pans="1:31" ht="15" thickBot="1">
      <c r="A78" s="75"/>
      <c r="B78" s="72"/>
      <c r="C78" s="184"/>
      <c r="D78" s="184"/>
      <c r="E78" s="184"/>
      <c r="F78" s="184"/>
      <c r="G78" s="184"/>
      <c r="H78" s="184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pans="1:31" ht="15" thickTop="1">
      <c r="A79" s="75"/>
      <c r="B79" s="169"/>
      <c r="C79" s="162" t="s">
        <v>40</v>
      </c>
      <c r="D79" s="162" t="s">
        <v>40</v>
      </c>
      <c r="E79" s="162" t="s">
        <v>40</v>
      </c>
      <c r="F79" s="162" t="s">
        <v>72</v>
      </c>
      <c r="G79" s="162" t="s">
        <v>72</v>
      </c>
      <c r="H79" s="162" t="s">
        <v>72</v>
      </c>
      <c r="I79" s="163" t="s">
        <v>73</v>
      </c>
      <c r="J79" s="164" t="s">
        <v>74</v>
      </c>
      <c r="K79" s="10" t="s">
        <v>75</v>
      </c>
      <c r="L79" s="10" t="s">
        <v>76</v>
      </c>
      <c r="M79" s="10" t="s">
        <v>77</v>
      </c>
      <c r="N79" s="10" t="s">
        <v>78</v>
      </c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pans="1:31">
      <c r="A80" s="75" t="s">
        <v>13</v>
      </c>
      <c r="B80" s="72" t="s">
        <v>20</v>
      </c>
      <c r="C80" s="228" t="e">
        <f t="shared" ref="C80:H80" si="4">B12*$H$40+B23*$H$41</f>
        <v>#DIV/0!</v>
      </c>
      <c r="D80" s="228" t="e">
        <f t="shared" si="4"/>
        <v>#DIV/0!</v>
      </c>
      <c r="E80" s="228" t="e">
        <f t="shared" si="4"/>
        <v>#DIV/0!</v>
      </c>
      <c r="F80" s="228" t="e">
        <f t="shared" si="4"/>
        <v>#DIV/0!</v>
      </c>
      <c r="G80" s="228" t="e">
        <f t="shared" si="4"/>
        <v>#DIV/0!</v>
      </c>
      <c r="H80" s="228" t="e">
        <f t="shared" si="4"/>
        <v>#DIV/0!</v>
      </c>
      <c r="I80" s="229" t="e">
        <f>AVERAGE(C80:E80)</f>
        <v>#DIV/0!</v>
      </c>
      <c r="J80" s="230" t="e">
        <f>AVERAGE(F80:H80)</f>
        <v>#DIV/0!</v>
      </c>
      <c r="K80" s="231" t="e">
        <f>STDEV(C80:E80)</f>
        <v>#DIV/0!</v>
      </c>
      <c r="L80" s="231" t="e">
        <f>STDEV(F80:H80)</f>
        <v>#DIV/0!</v>
      </c>
      <c r="M80" s="231" t="e">
        <f>100*K80/I80</f>
        <v>#DIV/0!</v>
      </c>
      <c r="N80" s="231" t="e">
        <f>100*L80/J80</f>
        <v>#DIV/0!</v>
      </c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pans="1:31">
      <c r="A81" s="75" t="s">
        <v>81</v>
      </c>
      <c r="B81" s="169" t="s">
        <v>19</v>
      </c>
      <c r="C81" s="170" t="e">
        <f t="shared" ref="C81:H81" si="5">B12*$I$40+B23*$I$41</f>
        <v>#DIV/0!</v>
      </c>
      <c r="D81" s="170" t="e">
        <f t="shared" si="5"/>
        <v>#DIV/0!</v>
      </c>
      <c r="E81" s="170" t="e">
        <f t="shared" si="5"/>
        <v>#DIV/0!</v>
      </c>
      <c r="F81" s="170" t="e">
        <f t="shared" si="5"/>
        <v>#DIV/0!</v>
      </c>
      <c r="G81" s="170" t="e">
        <f t="shared" si="5"/>
        <v>#DIV/0!</v>
      </c>
      <c r="H81" s="170" t="e">
        <f t="shared" si="5"/>
        <v>#DIV/0!</v>
      </c>
      <c r="I81" s="232" t="e">
        <f>AVERAGE(C81:E81)</f>
        <v>#DIV/0!</v>
      </c>
      <c r="J81" s="233" t="e">
        <f>AVERAGE(F81:H81)</f>
        <v>#DIV/0!</v>
      </c>
      <c r="K81" s="234" t="e">
        <f>STDEV(C81:E81)</f>
        <v>#DIV/0!</v>
      </c>
      <c r="L81" s="234" t="e">
        <f>STDEV(F81:H81)</f>
        <v>#DIV/0!</v>
      </c>
      <c r="M81" s="234" t="e">
        <f>100*K81/I81</f>
        <v>#DIV/0!</v>
      </c>
      <c r="N81" s="234" t="e">
        <f>100*L81/J81</f>
        <v>#DIV/0!</v>
      </c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pans="1:31" ht="15" thickBot="1">
      <c r="A82" s="235"/>
      <c r="B82" s="142" t="s">
        <v>31</v>
      </c>
      <c r="C82" s="173" t="e">
        <f t="shared" ref="C82:H82" si="6">C80/C81</f>
        <v>#DIV/0!</v>
      </c>
      <c r="D82" s="173" t="e">
        <f t="shared" si="6"/>
        <v>#DIV/0!</v>
      </c>
      <c r="E82" s="173" t="e">
        <f t="shared" si="6"/>
        <v>#DIV/0!</v>
      </c>
      <c r="F82" s="173" t="e">
        <f t="shared" si="6"/>
        <v>#DIV/0!</v>
      </c>
      <c r="G82" s="173" t="e">
        <f t="shared" si="6"/>
        <v>#DIV/0!</v>
      </c>
      <c r="H82" s="173" t="e">
        <f t="shared" si="6"/>
        <v>#DIV/0!</v>
      </c>
      <c r="I82" s="174" t="e">
        <f>AVERAGE(C82:E82)</f>
        <v>#DIV/0!</v>
      </c>
      <c r="J82" s="175" t="e">
        <f>AVERAGE(F82:H82)</f>
        <v>#DIV/0!</v>
      </c>
      <c r="K82" s="173" t="e">
        <f>STDEV(C82:E82)</f>
        <v>#DIV/0!</v>
      </c>
      <c r="L82" s="173" t="e">
        <f>STDEV(F82:H82)</f>
        <v>#DIV/0!</v>
      </c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pans="1:31" ht="15" thickTop="1">
      <c r="A83" s="98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pans="1:31">
      <c r="A84" s="98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pans="1:3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pans="1:3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pans="1:3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pans="1:3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pans="1:3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pans="1:3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</row>
  </sheetData>
  <protectedRanges>
    <protectedRange sqref="E31:E42" name="範囲1"/>
  </protectedRanges>
  <phoneticPr fontId="1"/>
  <pageMargins left="0.75" right="0.75" top="1" bottom="1" header="0.51200000000000001" footer="0.51200000000000001"/>
  <pageSetup paperSize="9" scale="77"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B112"/>
  <sheetViews>
    <sheetView showGridLines="0" topLeftCell="A21" zoomScaleNormal="100" workbookViewId="0">
      <selection activeCell="AA88" sqref="AA88"/>
    </sheetView>
  </sheetViews>
  <sheetFormatPr baseColWidth="10" defaultColWidth="9.19921875" defaultRowHeight="14"/>
  <cols>
    <col min="1" max="1" width="9.19921875" style="6"/>
    <col min="2" max="4" width="10.3984375" style="5" bestFit="1" customWidth="1"/>
    <col min="5" max="5" width="14.19921875" style="5" customWidth="1"/>
    <col min="6" max="9" width="10.3984375" style="5" bestFit="1" customWidth="1"/>
    <col min="10" max="11" width="9.3984375" style="5" bestFit="1" customWidth="1"/>
    <col min="12" max="12" width="10.3984375" style="5" bestFit="1" customWidth="1"/>
    <col min="13" max="13" width="9.3984375" style="5" bestFit="1" customWidth="1"/>
    <col min="14" max="16384" width="9.19921875" style="5"/>
  </cols>
  <sheetData>
    <row r="1" spans="1:28" customFormat="1" ht="15">
      <c r="A1" s="45" t="s">
        <v>336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</row>
    <row r="2" spans="1:28" customFormat="1">
      <c r="A2" s="45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</row>
    <row r="3" spans="1:28" customFormat="1">
      <c r="A3" s="45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</row>
    <row r="4" spans="1:28" customFormat="1">
      <c r="A4" s="45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</row>
    <row r="5" spans="1:28" customFormat="1">
      <c r="A5" s="3" t="s">
        <v>22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</row>
    <row r="6" spans="1:28" customFormat="1" ht="15" thickBot="1">
      <c r="A6" s="4" t="s">
        <v>21</v>
      </c>
      <c r="B6" s="1">
        <v>1</v>
      </c>
      <c r="C6" s="1">
        <v>2</v>
      </c>
      <c r="D6" s="1">
        <v>3</v>
      </c>
      <c r="E6" s="1">
        <v>4</v>
      </c>
      <c r="F6" s="1">
        <v>5</v>
      </c>
      <c r="G6" s="1">
        <v>6</v>
      </c>
      <c r="H6" s="1">
        <v>7</v>
      </c>
      <c r="I6" s="1">
        <v>8</v>
      </c>
      <c r="J6" s="1">
        <v>9</v>
      </c>
      <c r="K6" s="1">
        <v>10</v>
      </c>
      <c r="L6" s="1">
        <v>11</v>
      </c>
      <c r="M6" s="1">
        <v>12</v>
      </c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customFormat="1" ht="15" thickTop="1">
      <c r="A7" s="4" t="s">
        <v>8</v>
      </c>
      <c r="B7" s="50">
        <f t="array" ref="B7:M14">'Data Input'!B8:M15</f>
        <v>0</v>
      </c>
      <c r="C7" s="51">
        <v>0</v>
      </c>
      <c r="D7" s="51">
        <v>0</v>
      </c>
      <c r="E7" s="51">
        <v>0</v>
      </c>
      <c r="F7" s="51">
        <v>0</v>
      </c>
      <c r="G7" s="51">
        <v>0</v>
      </c>
      <c r="H7" s="51">
        <v>0</v>
      </c>
      <c r="I7" s="51">
        <v>0</v>
      </c>
      <c r="J7" s="51">
        <v>0</v>
      </c>
      <c r="K7" s="51">
        <v>0</v>
      </c>
      <c r="L7" s="51">
        <v>0</v>
      </c>
      <c r="M7" s="52">
        <v>0</v>
      </c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</row>
    <row r="8" spans="1:28" customFormat="1">
      <c r="A8" s="4" t="s">
        <v>9</v>
      </c>
      <c r="B8" s="53">
        <v>0</v>
      </c>
      <c r="C8" s="54">
        <v>0</v>
      </c>
      <c r="D8" s="54">
        <v>0</v>
      </c>
      <c r="E8" s="54">
        <v>0</v>
      </c>
      <c r="F8" s="54">
        <v>0</v>
      </c>
      <c r="G8" s="54">
        <v>0</v>
      </c>
      <c r="H8" s="54">
        <v>0</v>
      </c>
      <c r="I8" s="54">
        <v>0</v>
      </c>
      <c r="J8" s="54">
        <v>0</v>
      </c>
      <c r="K8" s="54">
        <v>0</v>
      </c>
      <c r="L8" s="54">
        <v>0</v>
      </c>
      <c r="M8" s="55">
        <v>0</v>
      </c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1:28" customFormat="1">
      <c r="A9" s="4" t="s">
        <v>10</v>
      </c>
      <c r="B9" s="53">
        <v>0</v>
      </c>
      <c r="C9" s="54">
        <v>0</v>
      </c>
      <c r="D9" s="54">
        <v>0</v>
      </c>
      <c r="E9" s="54">
        <v>0</v>
      </c>
      <c r="F9" s="54">
        <v>0</v>
      </c>
      <c r="G9" s="54">
        <v>0</v>
      </c>
      <c r="H9" s="54">
        <v>0</v>
      </c>
      <c r="I9" s="54">
        <v>0</v>
      </c>
      <c r="J9" s="54">
        <v>0</v>
      </c>
      <c r="K9" s="54">
        <v>0</v>
      </c>
      <c r="L9" s="54">
        <v>0</v>
      </c>
      <c r="M9" s="55">
        <v>0</v>
      </c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1:28" customFormat="1">
      <c r="A10" s="4" t="s">
        <v>11</v>
      </c>
      <c r="B10" s="53">
        <v>0</v>
      </c>
      <c r="C10" s="54">
        <v>0</v>
      </c>
      <c r="D10" s="54">
        <v>0</v>
      </c>
      <c r="E10" s="54">
        <v>0</v>
      </c>
      <c r="F10" s="54">
        <v>0</v>
      </c>
      <c r="G10" s="54">
        <v>0</v>
      </c>
      <c r="H10" s="54">
        <v>0</v>
      </c>
      <c r="I10" s="54">
        <v>0</v>
      </c>
      <c r="J10" s="54">
        <v>0</v>
      </c>
      <c r="K10" s="54">
        <v>0</v>
      </c>
      <c r="L10" s="54">
        <v>0</v>
      </c>
      <c r="M10" s="55">
        <v>0</v>
      </c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28" customFormat="1">
      <c r="A11" s="4" t="s">
        <v>12</v>
      </c>
      <c r="B11" s="53">
        <v>0</v>
      </c>
      <c r="C11" s="54">
        <v>0</v>
      </c>
      <c r="D11" s="54">
        <v>0</v>
      </c>
      <c r="E11" s="54">
        <v>0</v>
      </c>
      <c r="F11" s="54">
        <v>0</v>
      </c>
      <c r="G11" s="54">
        <v>0</v>
      </c>
      <c r="H11" s="54">
        <v>0</v>
      </c>
      <c r="I11" s="54">
        <v>0</v>
      </c>
      <c r="J11" s="54">
        <v>0</v>
      </c>
      <c r="K11" s="54">
        <v>0</v>
      </c>
      <c r="L11" s="54">
        <v>0</v>
      </c>
      <c r="M11" s="55">
        <v>0</v>
      </c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 customFormat="1">
      <c r="A12" s="4" t="s">
        <v>13</v>
      </c>
      <c r="B12" s="53">
        <v>0</v>
      </c>
      <c r="C12" s="54">
        <v>0</v>
      </c>
      <c r="D12" s="54">
        <v>0</v>
      </c>
      <c r="E12" s="54">
        <v>0</v>
      </c>
      <c r="F12" s="54">
        <v>0</v>
      </c>
      <c r="G12" s="54">
        <v>0</v>
      </c>
      <c r="H12" s="54">
        <v>0</v>
      </c>
      <c r="I12" s="54">
        <v>0</v>
      </c>
      <c r="J12" s="54">
        <v>0</v>
      </c>
      <c r="K12" s="54">
        <v>0</v>
      </c>
      <c r="L12" s="54">
        <v>0</v>
      </c>
      <c r="M12" s="55">
        <v>0</v>
      </c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1:28" customFormat="1">
      <c r="A13" s="4" t="s">
        <v>14</v>
      </c>
      <c r="B13" s="53">
        <v>0</v>
      </c>
      <c r="C13" s="54">
        <v>0</v>
      </c>
      <c r="D13" s="54">
        <v>0</v>
      </c>
      <c r="E13" s="54">
        <v>0</v>
      </c>
      <c r="F13" s="54">
        <v>0</v>
      </c>
      <c r="G13" s="54">
        <v>0</v>
      </c>
      <c r="H13" s="54">
        <v>0</v>
      </c>
      <c r="I13" s="54">
        <v>0</v>
      </c>
      <c r="J13" s="54">
        <v>0</v>
      </c>
      <c r="K13" s="54">
        <v>0</v>
      </c>
      <c r="L13" s="54">
        <v>0</v>
      </c>
      <c r="M13" s="55">
        <v>0</v>
      </c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customFormat="1" ht="15" thickBot="1">
      <c r="A14" s="4" t="s">
        <v>15</v>
      </c>
      <c r="B14" s="56">
        <v>0</v>
      </c>
      <c r="C14" s="57">
        <v>0</v>
      </c>
      <c r="D14" s="57">
        <v>0</v>
      </c>
      <c r="E14" s="57">
        <v>0</v>
      </c>
      <c r="F14" s="57">
        <v>0</v>
      </c>
      <c r="G14" s="57">
        <v>0</v>
      </c>
      <c r="H14" s="57">
        <v>0</v>
      </c>
      <c r="I14" s="57">
        <v>0</v>
      </c>
      <c r="J14" s="57">
        <v>0</v>
      </c>
      <c r="K14" s="57">
        <v>0</v>
      </c>
      <c r="L14" s="57">
        <v>0</v>
      </c>
      <c r="M14" s="58">
        <v>0</v>
      </c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customFormat="1" ht="15" thickTop="1">
      <c r="A15" s="4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customFormat="1">
      <c r="A16" s="3" t="s">
        <v>234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customFormat="1" ht="15" thickBot="1">
      <c r="A17" s="4" t="s">
        <v>235</v>
      </c>
      <c r="B17" s="1">
        <v>1</v>
      </c>
      <c r="C17" s="1">
        <v>2</v>
      </c>
      <c r="D17" s="1">
        <v>3</v>
      </c>
      <c r="E17" s="1">
        <v>4</v>
      </c>
      <c r="F17" s="1">
        <v>5</v>
      </c>
      <c r="G17" s="1">
        <v>6</v>
      </c>
      <c r="H17" s="1">
        <v>7</v>
      </c>
      <c r="I17" s="1">
        <v>8</v>
      </c>
      <c r="J17" s="1">
        <v>9</v>
      </c>
      <c r="K17" s="1">
        <v>10</v>
      </c>
      <c r="L17" s="1">
        <v>11</v>
      </c>
      <c r="M17" s="1">
        <v>12</v>
      </c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customFormat="1">
      <c r="A18" s="4" t="s">
        <v>0</v>
      </c>
      <c r="B18" s="59">
        <f t="array" ref="B18:M25">'Data Input'!B19:M26</f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  <c r="H18" s="60">
        <v>0</v>
      </c>
      <c r="I18" s="60">
        <v>0</v>
      </c>
      <c r="J18" s="60">
        <v>0</v>
      </c>
      <c r="K18" s="60">
        <v>0</v>
      </c>
      <c r="L18" s="60">
        <v>0</v>
      </c>
      <c r="M18" s="61">
        <v>0</v>
      </c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customFormat="1">
      <c r="A19" s="4" t="s">
        <v>1</v>
      </c>
      <c r="B19" s="62">
        <v>0</v>
      </c>
      <c r="C19" s="63">
        <v>0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4">
        <v>0</v>
      </c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customFormat="1">
      <c r="A20" s="4" t="s">
        <v>2</v>
      </c>
      <c r="B20" s="62">
        <v>0</v>
      </c>
      <c r="C20" s="63">
        <v>0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4">
        <v>0</v>
      </c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customFormat="1">
      <c r="A21" s="4" t="s">
        <v>3</v>
      </c>
      <c r="B21" s="62">
        <v>0</v>
      </c>
      <c r="C21" s="63">
        <v>0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0</v>
      </c>
      <c r="M21" s="64">
        <v>0</v>
      </c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customFormat="1">
      <c r="A22" s="4" t="s">
        <v>4</v>
      </c>
      <c r="B22" s="62">
        <v>0</v>
      </c>
      <c r="C22" s="63">
        <v>0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4">
        <v>0</v>
      </c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customFormat="1">
      <c r="A23" s="4" t="s">
        <v>5</v>
      </c>
      <c r="B23" s="62">
        <v>0</v>
      </c>
      <c r="C23" s="63">
        <v>0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0</v>
      </c>
      <c r="M23" s="64">
        <v>0</v>
      </c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customFormat="1">
      <c r="A24" s="4" t="s">
        <v>6</v>
      </c>
      <c r="B24" s="62">
        <v>0</v>
      </c>
      <c r="C24" s="63">
        <v>0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0</v>
      </c>
      <c r="M24" s="64">
        <v>0</v>
      </c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customFormat="1" ht="15" thickBot="1">
      <c r="A25" s="4" t="s">
        <v>7</v>
      </c>
      <c r="B25" s="65">
        <v>0</v>
      </c>
      <c r="C25" s="66">
        <v>0</v>
      </c>
      <c r="D25" s="66">
        <v>0</v>
      </c>
      <c r="E25" s="66">
        <v>0</v>
      </c>
      <c r="F25" s="66">
        <v>0</v>
      </c>
      <c r="G25" s="66">
        <v>0</v>
      </c>
      <c r="H25" s="66">
        <v>0</v>
      </c>
      <c r="I25" s="66">
        <v>0</v>
      </c>
      <c r="J25" s="66">
        <v>0</v>
      </c>
      <c r="K25" s="66">
        <v>0</v>
      </c>
      <c r="L25" s="66">
        <v>0</v>
      </c>
      <c r="M25" s="67">
        <v>0</v>
      </c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customFormat="1">
      <c r="A26" s="1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16" thickBot="1">
      <c r="A27" s="45" t="s">
        <v>336</v>
      </c>
      <c r="B27" s="10"/>
      <c r="C27" s="10"/>
      <c r="D27" s="10"/>
      <c r="E27" s="10"/>
      <c r="F27" s="10"/>
      <c r="G27" s="10"/>
      <c r="H27" s="10"/>
      <c r="I27" s="2" t="s">
        <v>21</v>
      </c>
      <c r="J27" s="2" t="s">
        <v>232</v>
      </c>
      <c r="K27" s="10"/>
      <c r="L27" s="10" t="s">
        <v>90</v>
      </c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>
      <c r="A28" s="45"/>
      <c r="B28" s="10"/>
      <c r="C28" s="10"/>
      <c r="D28" s="10"/>
      <c r="E28" s="10"/>
      <c r="F28" s="10"/>
      <c r="G28" s="10"/>
      <c r="H28" s="8" t="s">
        <v>20</v>
      </c>
      <c r="I28" s="68">
        <v>1</v>
      </c>
      <c r="J28" s="69">
        <f>'Data Input'!G4</f>
        <v>0</v>
      </c>
      <c r="K28" s="10"/>
      <c r="L28" s="68" t="e">
        <f t="array" ref="L28:M29">MINVERSE(I28:J29)</f>
        <v>#NUM!</v>
      </c>
      <c r="M28" s="69" t="e">
        <v>#NUM!</v>
      </c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15" thickBot="1">
      <c r="A29" s="45"/>
      <c r="B29" s="3" t="s">
        <v>17</v>
      </c>
      <c r="C29" s="10"/>
      <c r="D29" s="10"/>
      <c r="E29" s="10"/>
      <c r="F29" s="10"/>
      <c r="G29" s="10"/>
      <c r="H29" s="9" t="s">
        <v>19</v>
      </c>
      <c r="I29" s="70">
        <v>1</v>
      </c>
      <c r="J29" s="71">
        <f>'Data Input'!G5</f>
        <v>0</v>
      </c>
      <c r="K29" s="10"/>
      <c r="L29" s="70" t="e">
        <v>#NUM!</v>
      </c>
      <c r="M29" s="71" t="e">
        <v>#NUM!</v>
      </c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>
      <c r="A30" s="45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>
      <c r="A31" s="45"/>
      <c r="B31" s="72" t="s">
        <v>327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s="7" customFormat="1" ht="15" thickBot="1">
      <c r="A32" s="73"/>
      <c r="B32" s="74">
        <v>1</v>
      </c>
      <c r="C32" s="74">
        <v>2</v>
      </c>
      <c r="D32" s="74">
        <v>3</v>
      </c>
      <c r="E32" s="74">
        <v>4</v>
      </c>
      <c r="F32" s="74">
        <v>5</v>
      </c>
      <c r="G32" s="74">
        <v>6</v>
      </c>
      <c r="H32" s="74">
        <v>7</v>
      </c>
      <c r="I32" s="74">
        <v>8</v>
      </c>
      <c r="J32" s="74">
        <v>9</v>
      </c>
      <c r="K32" s="74">
        <v>10</v>
      </c>
      <c r="L32" s="74">
        <v>11</v>
      </c>
      <c r="M32" s="74">
        <v>12</v>
      </c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</row>
    <row r="33" spans="1:28" ht="15" thickTop="1">
      <c r="A33" s="75" t="s">
        <v>8</v>
      </c>
      <c r="B33" s="76" t="e">
        <f t="shared" ref="B33:M40" si="0">B7*$L$28+B18*$L$29</f>
        <v>#NUM!</v>
      </c>
      <c r="C33" s="77" t="e">
        <f t="shared" si="0"/>
        <v>#NUM!</v>
      </c>
      <c r="D33" s="77" t="e">
        <f t="shared" si="0"/>
        <v>#NUM!</v>
      </c>
      <c r="E33" s="77" t="e">
        <f t="shared" si="0"/>
        <v>#NUM!</v>
      </c>
      <c r="F33" s="77" t="e">
        <f t="shared" si="0"/>
        <v>#NUM!</v>
      </c>
      <c r="G33" s="77" t="e">
        <f t="shared" si="0"/>
        <v>#NUM!</v>
      </c>
      <c r="H33" s="77" t="e">
        <f t="shared" si="0"/>
        <v>#NUM!</v>
      </c>
      <c r="I33" s="77" t="e">
        <f t="shared" si="0"/>
        <v>#NUM!</v>
      </c>
      <c r="J33" s="77" t="e">
        <f t="shared" si="0"/>
        <v>#NUM!</v>
      </c>
      <c r="K33" s="77" t="e">
        <f t="shared" si="0"/>
        <v>#NUM!</v>
      </c>
      <c r="L33" s="77" t="e">
        <f t="shared" si="0"/>
        <v>#NUM!</v>
      </c>
      <c r="M33" s="78" t="e">
        <f t="shared" si="0"/>
        <v>#NUM!</v>
      </c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>
      <c r="A34" s="75" t="s">
        <v>9</v>
      </c>
      <c r="B34" s="79" t="e">
        <f t="shared" si="0"/>
        <v>#NUM!</v>
      </c>
      <c r="C34" s="80" t="e">
        <f t="shared" si="0"/>
        <v>#NUM!</v>
      </c>
      <c r="D34" s="80" t="e">
        <f t="shared" si="0"/>
        <v>#NUM!</v>
      </c>
      <c r="E34" s="80" t="e">
        <f t="shared" si="0"/>
        <v>#NUM!</v>
      </c>
      <c r="F34" s="80" t="e">
        <f t="shared" si="0"/>
        <v>#NUM!</v>
      </c>
      <c r="G34" s="80" t="e">
        <f t="shared" si="0"/>
        <v>#NUM!</v>
      </c>
      <c r="H34" s="80" t="e">
        <f t="shared" si="0"/>
        <v>#NUM!</v>
      </c>
      <c r="I34" s="80" t="e">
        <f t="shared" si="0"/>
        <v>#NUM!</v>
      </c>
      <c r="J34" s="80" t="e">
        <f t="shared" si="0"/>
        <v>#NUM!</v>
      </c>
      <c r="K34" s="80" t="e">
        <f t="shared" si="0"/>
        <v>#NUM!</v>
      </c>
      <c r="L34" s="80" t="e">
        <f t="shared" si="0"/>
        <v>#NUM!</v>
      </c>
      <c r="M34" s="81" t="e">
        <f t="shared" si="0"/>
        <v>#NUM!</v>
      </c>
      <c r="N34" s="10"/>
      <c r="O34" s="10"/>
      <c r="P34" s="82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>
      <c r="A35" s="75" t="s">
        <v>10</v>
      </c>
      <c r="B35" s="79" t="e">
        <f t="shared" si="0"/>
        <v>#NUM!</v>
      </c>
      <c r="C35" s="80" t="e">
        <f t="shared" si="0"/>
        <v>#NUM!</v>
      </c>
      <c r="D35" s="80" t="e">
        <f t="shared" si="0"/>
        <v>#NUM!</v>
      </c>
      <c r="E35" s="80" t="e">
        <f t="shared" si="0"/>
        <v>#NUM!</v>
      </c>
      <c r="F35" s="80" t="e">
        <f t="shared" si="0"/>
        <v>#NUM!</v>
      </c>
      <c r="G35" s="80" t="e">
        <f t="shared" si="0"/>
        <v>#NUM!</v>
      </c>
      <c r="H35" s="80" t="e">
        <f t="shared" si="0"/>
        <v>#NUM!</v>
      </c>
      <c r="I35" s="80" t="e">
        <f t="shared" si="0"/>
        <v>#NUM!</v>
      </c>
      <c r="J35" s="80" t="e">
        <f t="shared" si="0"/>
        <v>#NUM!</v>
      </c>
      <c r="K35" s="80" t="e">
        <f t="shared" si="0"/>
        <v>#NUM!</v>
      </c>
      <c r="L35" s="80" t="e">
        <f t="shared" si="0"/>
        <v>#NUM!</v>
      </c>
      <c r="M35" s="81" t="e">
        <f t="shared" si="0"/>
        <v>#NUM!</v>
      </c>
      <c r="N35" s="10"/>
      <c r="O35" s="10"/>
      <c r="P35" s="82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>
      <c r="A36" s="75" t="s">
        <v>11</v>
      </c>
      <c r="B36" s="79" t="e">
        <f t="shared" si="0"/>
        <v>#NUM!</v>
      </c>
      <c r="C36" s="80" t="e">
        <f t="shared" si="0"/>
        <v>#NUM!</v>
      </c>
      <c r="D36" s="80" t="e">
        <f t="shared" si="0"/>
        <v>#NUM!</v>
      </c>
      <c r="E36" s="80" t="e">
        <f t="shared" si="0"/>
        <v>#NUM!</v>
      </c>
      <c r="F36" s="80" t="e">
        <f t="shared" si="0"/>
        <v>#NUM!</v>
      </c>
      <c r="G36" s="80" t="e">
        <f t="shared" si="0"/>
        <v>#NUM!</v>
      </c>
      <c r="H36" s="80" t="e">
        <f t="shared" si="0"/>
        <v>#NUM!</v>
      </c>
      <c r="I36" s="80" t="e">
        <f t="shared" si="0"/>
        <v>#NUM!</v>
      </c>
      <c r="J36" s="80" t="e">
        <f t="shared" si="0"/>
        <v>#NUM!</v>
      </c>
      <c r="K36" s="80" t="e">
        <f t="shared" si="0"/>
        <v>#NUM!</v>
      </c>
      <c r="L36" s="80" t="e">
        <f t="shared" si="0"/>
        <v>#NUM!</v>
      </c>
      <c r="M36" s="81" t="e">
        <f t="shared" si="0"/>
        <v>#NUM!</v>
      </c>
      <c r="N36" s="10"/>
      <c r="O36" s="10"/>
      <c r="P36" s="82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>
      <c r="A37" s="75" t="s">
        <v>12</v>
      </c>
      <c r="B37" s="79" t="e">
        <f t="shared" si="0"/>
        <v>#NUM!</v>
      </c>
      <c r="C37" s="80" t="e">
        <f t="shared" si="0"/>
        <v>#NUM!</v>
      </c>
      <c r="D37" s="80" t="e">
        <f t="shared" si="0"/>
        <v>#NUM!</v>
      </c>
      <c r="E37" s="80" t="e">
        <f t="shared" si="0"/>
        <v>#NUM!</v>
      </c>
      <c r="F37" s="80" t="e">
        <f t="shared" si="0"/>
        <v>#NUM!</v>
      </c>
      <c r="G37" s="80" t="e">
        <f t="shared" si="0"/>
        <v>#NUM!</v>
      </c>
      <c r="H37" s="80" t="e">
        <f t="shared" si="0"/>
        <v>#NUM!</v>
      </c>
      <c r="I37" s="80" t="e">
        <f t="shared" si="0"/>
        <v>#NUM!</v>
      </c>
      <c r="J37" s="80" t="e">
        <f t="shared" si="0"/>
        <v>#NUM!</v>
      </c>
      <c r="K37" s="80" t="e">
        <f t="shared" si="0"/>
        <v>#NUM!</v>
      </c>
      <c r="L37" s="80" t="e">
        <f t="shared" si="0"/>
        <v>#NUM!</v>
      </c>
      <c r="M37" s="81" t="e">
        <f t="shared" si="0"/>
        <v>#NUM!</v>
      </c>
      <c r="N37" s="10"/>
      <c r="O37" s="10"/>
      <c r="P37" s="82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>
      <c r="A38" s="75" t="s">
        <v>13</v>
      </c>
      <c r="B38" s="79" t="e">
        <f t="shared" si="0"/>
        <v>#NUM!</v>
      </c>
      <c r="C38" s="80" t="e">
        <f t="shared" si="0"/>
        <v>#NUM!</v>
      </c>
      <c r="D38" s="80" t="e">
        <f t="shared" si="0"/>
        <v>#NUM!</v>
      </c>
      <c r="E38" s="80" t="e">
        <f t="shared" si="0"/>
        <v>#NUM!</v>
      </c>
      <c r="F38" s="80" t="e">
        <f t="shared" si="0"/>
        <v>#NUM!</v>
      </c>
      <c r="G38" s="80" t="e">
        <f t="shared" si="0"/>
        <v>#NUM!</v>
      </c>
      <c r="H38" s="80" t="e">
        <f t="shared" si="0"/>
        <v>#NUM!</v>
      </c>
      <c r="I38" s="80" t="e">
        <f t="shared" si="0"/>
        <v>#NUM!</v>
      </c>
      <c r="J38" s="80" t="e">
        <f t="shared" si="0"/>
        <v>#NUM!</v>
      </c>
      <c r="K38" s="80" t="e">
        <f t="shared" si="0"/>
        <v>#NUM!</v>
      </c>
      <c r="L38" s="80" t="e">
        <f t="shared" si="0"/>
        <v>#NUM!</v>
      </c>
      <c r="M38" s="81" t="e">
        <f t="shared" si="0"/>
        <v>#NUM!</v>
      </c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>
      <c r="A39" s="75" t="s">
        <v>14</v>
      </c>
      <c r="B39" s="79" t="e">
        <f t="shared" si="0"/>
        <v>#NUM!</v>
      </c>
      <c r="C39" s="80" t="e">
        <f t="shared" si="0"/>
        <v>#NUM!</v>
      </c>
      <c r="D39" s="80" t="e">
        <f t="shared" si="0"/>
        <v>#NUM!</v>
      </c>
      <c r="E39" s="80" t="e">
        <f t="shared" si="0"/>
        <v>#NUM!</v>
      </c>
      <c r="F39" s="80" t="e">
        <f t="shared" si="0"/>
        <v>#NUM!</v>
      </c>
      <c r="G39" s="80" t="e">
        <f t="shared" si="0"/>
        <v>#NUM!</v>
      </c>
      <c r="H39" s="80" t="e">
        <f t="shared" si="0"/>
        <v>#NUM!</v>
      </c>
      <c r="I39" s="80" t="e">
        <f t="shared" si="0"/>
        <v>#NUM!</v>
      </c>
      <c r="J39" s="80" t="e">
        <f t="shared" si="0"/>
        <v>#NUM!</v>
      </c>
      <c r="K39" s="80" t="e">
        <f t="shared" si="0"/>
        <v>#NUM!</v>
      </c>
      <c r="L39" s="80" t="e">
        <f t="shared" si="0"/>
        <v>#NUM!</v>
      </c>
      <c r="M39" s="81" t="e">
        <f t="shared" si="0"/>
        <v>#NUM!</v>
      </c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ht="15" thickBot="1">
      <c r="A40" s="75" t="s">
        <v>15</v>
      </c>
      <c r="B40" s="83" t="e">
        <f t="shared" si="0"/>
        <v>#NUM!</v>
      </c>
      <c r="C40" s="84" t="e">
        <f t="shared" si="0"/>
        <v>#NUM!</v>
      </c>
      <c r="D40" s="84" t="e">
        <f t="shared" si="0"/>
        <v>#NUM!</v>
      </c>
      <c r="E40" s="84" t="e">
        <f t="shared" si="0"/>
        <v>#NUM!</v>
      </c>
      <c r="F40" s="84" t="e">
        <f t="shared" si="0"/>
        <v>#NUM!</v>
      </c>
      <c r="G40" s="84" t="e">
        <f t="shared" si="0"/>
        <v>#NUM!</v>
      </c>
      <c r="H40" s="84" t="e">
        <f t="shared" si="0"/>
        <v>#NUM!</v>
      </c>
      <c r="I40" s="84" t="e">
        <f t="shared" si="0"/>
        <v>#NUM!</v>
      </c>
      <c r="J40" s="84" t="e">
        <f t="shared" si="0"/>
        <v>#NUM!</v>
      </c>
      <c r="K40" s="84" t="e">
        <f t="shared" si="0"/>
        <v>#NUM!</v>
      </c>
      <c r="L40" s="84" t="e">
        <f t="shared" si="0"/>
        <v>#NUM!</v>
      </c>
      <c r="M40" s="85" t="e">
        <f t="shared" si="0"/>
        <v>#NUM!</v>
      </c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15" thickTop="1">
      <c r="A41" s="75"/>
      <c r="B41" s="72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15" thickBot="1">
      <c r="A42" s="75"/>
      <c r="B42" s="9" t="s">
        <v>328</v>
      </c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15" thickTop="1">
      <c r="A43" s="75" t="s">
        <v>8</v>
      </c>
      <c r="B43" s="86" t="e">
        <f t="shared" ref="B43:M50" si="1">B7*$M$28+B18*$M$29</f>
        <v>#NUM!</v>
      </c>
      <c r="C43" s="87" t="e">
        <f t="shared" si="1"/>
        <v>#NUM!</v>
      </c>
      <c r="D43" s="87" t="e">
        <f t="shared" si="1"/>
        <v>#NUM!</v>
      </c>
      <c r="E43" s="87" t="e">
        <f t="shared" si="1"/>
        <v>#NUM!</v>
      </c>
      <c r="F43" s="87" t="e">
        <f t="shared" si="1"/>
        <v>#NUM!</v>
      </c>
      <c r="G43" s="87" t="e">
        <f t="shared" si="1"/>
        <v>#NUM!</v>
      </c>
      <c r="H43" s="87" t="e">
        <f t="shared" si="1"/>
        <v>#NUM!</v>
      </c>
      <c r="I43" s="87" t="e">
        <f t="shared" si="1"/>
        <v>#NUM!</v>
      </c>
      <c r="J43" s="87" t="e">
        <f t="shared" si="1"/>
        <v>#NUM!</v>
      </c>
      <c r="K43" s="87" t="e">
        <f t="shared" si="1"/>
        <v>#NUM!</v>
      </c>
      <c r="L43" s="87" t="e">
        <f t="shared" si="1"/>
        <v>#NUM!</v>
      </c>
      <c r="M43" s="88" t="e">
        <f t="shared" si="1"/>
        <v>#NUM!</v>
      </c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>
      <c r="A44" s="75" t="s">
        <v>9</v>
      </c>
      <c r="B44" s="89" t="e">
        <f t="shared" si="1"/>
        <v>#NUM!</v>
      </c>
      <c r="C44" s="90" t="e">
        <f t="shared" si="1"/>
        <v>#NUM!</v>
      </c>
      <c r="D44" s="90" t="e">
        <f t="shared" si="1"/>
        <v>#NUM!</v>
      </c>
      <c r="E44" s="90" t="e">
        <f t="shared" si="1"/>
        <v>#NUM!</v>
      </c>
      <c r="F44" s="90" t="e">
        <f t="shared" si="1"/>
        <v>#NUM!</v>
      </c>
      <c r="G44" s="90" t="e">
        <f t="shared" si="1"/>
        <v>#NUM!</v>
      </c>
      <c r="H44" s="90" t="e">
        <f t="shared" si="1"/>
        <v>#NUM!</v>
      </c>
      <c r="I44" s="90" t="e">
        <f t="shared" si="1"/>
        <v>#NUM!</v>
      </c>
      <c r="J44" s="90" t="e">
        <f t="shared" si="1"/>
        <v>#NUM!</v>
      </c>
      <c r="K44" s="90" t="e">
        <f t="shared" si="1"/>
        <v>#NUM!</v>
      </c>
      <c r="L44" s="90" t="e">
        <f t="shared" si="1"/>
        <v>#NUM!</v>
      </c>
      <c r="M44" s="91" t="e">
        <f t="shared" si="1"/>
        <v>#NUM!</v>
      </c>
      <c r="N44" s="10"/>
      <c r="O44" s="10"/>
      <c r="P44" s="82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>
      <c r="A45" s="75" t="s">
        <v>10</v>
      </c>
      <c r="B45" s="89" t="e">
        <f t="shared" si="1"/>
        <v>#NUM!</v>
      </c>
      <c r="C45" s="90" t="e">
        <f t="shared" si="1"/>
        <v>#NUM!</v>
      </c>
      <c r="D45" s="90" t="e">
        <f t="shared" si="1"/>
        <v>#NUM!</v>
      </c>
      <c r="E45" s="90" t="e">
        <f t="shared" si="1"/>
        <v>#NUM!</v>
      </c>
      <c r="F45" s="90" t="e">
        <f t="shared" si="1"/>
        <v>#NUM!</v>
      </c>
      <c r="G45" s="90" t="e">
        <f t="shared" si="1"/>
        <v>#NUM!</v>
      </c>
      <c r="H45" s="90" t="e">
        <f t="shared" si="1"/>
        <v>#NUM!</v>
      </c>
      <c r="I45" s="90" t="e">
        <f t="shared" si="1"/>
        <v>#NUM!</v>
      </c>
      <c r="J45" s="90" t="e">
        <f t="shared" si="1"/>
        <v>#NUM!</v>
      </c>
      <c r="K45" s="90" t="e">
        <f t="shared" si="1"/>
        <v>#NUM!</v>
      </c>
      <c r="L45" s="90" t="e">
        <f t="shared" si="1"/>
        <v>#NUM!</v>
      </c>
      <c r="M45" s="91" t="e">
        <f t="shared" si="1"/>
        <v>#NUM!</v>
      </c>
      <c r="N45" s="10"/>
      <c r="O45" s="10"/>
      <c r="P45" s="82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>
      <c r="A46" s="75" t="s">
        <v>11</v>
      </c>
      <c r="B46" s="89" t="e">
        <f t="shared" si="1"/>
        <v>#NUM!</v>
      </c>
      <c r="C46" s="90" t="e">
        <f t="shared" si="1"/>
        <v>#NUM!</v>
      </c>
      <c r="D46" s="90" t="e">
        <f t="shared" si="1"/>
        <v>#NUM!</v>
      </c>
      <c r="E46" s="90" t="e">
        <f t="shared" si="1"/>
        <v>#NUM!</v>
      </c>
      <c r="F46" s="90" t="e">
        <f t="shared" si="1"/>
        <v>#NUM!</v>
      </c>
      <c r="G46" s="90" t="e">
        <f t="shared" si="1"/>
        <v>#NUM!</v>
      </c>
      <c r="H46" s="90" t="e">
        <f t="shared" si="1"/>
        <v>#NUM!</v>
      </c>
      <c r="I46" s="90" t="e">
        <f t="shared" si="1"/>
        <v>#NUM!</v>
      </c>
      <c r="J46" s="90" t="e">
        <f t="shared" si="1"/>
        <v>#NUM!</v>
      </c>
      <c r="K46" s="90" t="e">
        <f t="shared" si="1"/>
        <v>#NUM!</v>
      </c>
      <c r="L46" s="90" t="e">
        <f t="shared" si="1"/>
        <v>#NUM!</v>
      </c>
      <c r="M46" s="91" t="e">
        <f t="shared" si="1"/>
        <v>#NUM!</v>
      </c>
      <c r="N46" s="10"/>
      <c r="O46" s="10"/>
      <c r="P46" s="82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>
      <c r="A47" s="75" t="s">
        <v>12</v>
      </c>
      <c r="B47" s="92" t="e">
        <f t="shared" si="1"/>
        <v>#NUM!</v>
      </c>
      <c r="C47" s="93" t="e">
        <f t="shared" si="1"/>
        <v>#NUM!</v>
      </c>
      <c r="D47" s="93" t="e">
        <f t="shared" si="1"/>
        <v>#NUM!</v>
      </c>
      <c r="E47" s="93" t="e">
        <f t="shared" si="1"/>
        <v>#NUM!</v>
      </c>
      <c r="F47" s="93" t="e">
        <f t="shared" si="1"/>
        <v>#NUM!</v>
      </c>
      <c r="G47" s="93" t="e">
        <f t="shared" si="1"/>
        <v>#NUM!</v>
      </c>
      <c r="H47" s="93" t="e">
        <f t="shared" si="1"/>
        <v>#NUM!</v>
      </c>
      <c r="I47" s="93" t="e">
        <f t="shared" si="1"/>
        <v>#NUM!</v>
      </c>
      <c r="J47" s="93" t="e">
        <f t="shared" si="1"/>
        <v>#NUM!</v>
      </c>
      <c r="K47" s="93" t="e">
        <f t="shared" si="1"/>
        <v>#NUM!</v>
      </c>
      <c r="L47" s="93" t="e">
        <f t="shared" si="1"/>
        <v>#NUM!</v>
      </c>
      <c r="M47" s="94" t="e">
        <f t="shared" si="1"/>
        <v>#NUM!</v>
      </c>
      <c r="N47" s="10"/>
      <c r="O47" s="10"/>
      <c r="P47" s="82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>
      <c r="A48" s="75" t="s">
        <v>13</v>
      </c>
      <c r="B48" s="89" t="e">
        <f t="shared" si="1"/>
        <v>#NUM!</v>
      </c>
      <c r="C48" s="90" t="e">
        <f t="shared" si="1"/>
        <v>#NUM!</v>
      </c>
      <c r="D48" s="90" t="e">
        <f t="shared" si="1"/>
        <v>#NUM!</v>
      </c>
      <c r="E48" s="90" t="e">
        <f t="shared" si="1"/>
        <v>#NUM!</v>
      </c>
      <c r="F48" s="90" t="e">
        <f t="shared" si="1"/>
        <v>#NUM!</v>
      </c>
      <c r="G48" s="90" t="e">
        <f t="shared" si="1"/>
        <v>#NUM!</v>
      </c>
      <c r="H48" s="90" t="e">
        <f t="shared" si="1"/>
        <v>#NUM!</v>
      </c>
      <c r="I48" s="90" t="e">
        <f t="shared" si="1"/>
        <v>#NUM!</v>
      </c>
      <c r="J48" s="90" t="e">
        <f t="shared" si="1"/>
        <v>#NUM!</v>
      </c>
      <c r="K48" s="90" t="e">
        <f t="shared" si="1"/>
        <v>#NUM!</v>
      </c>
      <c r="L48" s="90" t="e">
        <f t="shared" si="1"/>
        <v>#NUM!</v>
      </c>
      <c r="M48" s="91" t="e">
        <f>M12*$M$28+M23*$M$29</f>
        <v>#NUM!</v>
      </c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>
      <c r="A49" s="75" t="s">
        <v>14</v>
      </c>
      <c r="B49" s="89" t="e">
        <f t="shared" si="1"/>
        <v>#NUM!</v>
      </c>
      <c r="C49" s="90" t="e">
        <f t="shared" si="1"/>
        <v>#NUM!</v>
      </c>
      <c r="D49" s="90" t="e">
        <f t="shared" si="1"/>
        <v>#NUM!</v>
      </c>
      <c r="E49" s="90" t="e">
        <f t="shared" si="1"/>
        <v>#NUM!</v>
      </c>
      <c r="F49" s="90" t="e">
        <f t="shared" si="1"/>
        <v>#NUM!</v>
      </c>
      <c r="G49" s="90" t="e">
        <f t="shared" si="1"/>
        <v>#NUM!</v>
      </c>
      <c r="H49" s="90" t="e">
        <f t="shared" si="1"/>
        <v>#NUM!</v>
      </c>
      <c r="I49" s="90" t="e">
        <f t="shared" si="1"/>
        <v>#NUM!</v>
      </c>
      <c r="J49" s="90" t="e">
        <f t="shared" si="1"/>
        <v>#NUM!</v>
      </c>
      <c r="K49" s="90" t="e">
        <f t="shared" si="1"/>
        <v>#NUM!</v>
      </c>
      <c r="L49" s="90" t="e">
        <f t="shared" si="1"/>
        <v>#NUM!</v>
      </c>
      <c r="M49" s="91" t="e">
        <f t="shared" si="1"/>
        <v>#NUM!</v>
      </c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ht="15" thickBot="1">
      <c r="A50" s="75" t="s">
        <v>15</v>
      </c>
      <c r="B50" s="95" t="e">
        <f>B14*$M$28+B25*$M$29</f>
        <v>#NUM!</v>
      </c>
      <c r="C50" s="96" t="e">
        <f t="shared" si="1"/>
        <v>#NUM!</v>
      </c>
      <c r="D50" s="96" t="e">
        <f t="shared" si="1"/>
        <v>#NUM!</v>
      </c>
      <c r="E50" s="96" t="e">
        <f t="shared" si="1"/>
        <v>#NUM!</v>
      </c>
      <c r="F50" s="96" t="e">
        <f t="shared" si="1"/>
        <v>#NUM!</v>
      </c>
      <c r="G50" s="96" t="e">
        <f t="shared" si="1"/>
        <v>#NUM!</v>
      </c>
      <c r="H50" s="96" t="e">
        <f t="shared" si="1"/>
        <v>#NUM!</v>
      </c>
      <c r="I50" s="96" t="e">
        <f t="shared" si="1"/>
        <v>#NUM!</v>
      </c>
      <c r="J50" s="96" t="e">
        <f t="shared" si="1"/>
        <v>#NUM!</v>
      </c>
      <c r="K50" s="96" t="e">
        <f t="shared" si="1"/>
        <v>#NUM!</v>
      </c>
      <c r="L50" s="96" t="e">
        <f t="shared" si="1"/>
        <v>#NUM!</v>
      </c>
      <c r="M50" s="97" t="e">
        <f t="shared" si="1"/>
        <v>#NUM!</v>
      </c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ht="15" thickTop="1">
      <c r="A51" s="98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>
      <c r="A52" s="10" t="s">
        <v>329</v>
      </c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>
      <c r="A53" s="10"/>
      <c r="B53" s="117" t="e">
        <f>B33/B43</f>
        <v>#NUM!</v>
      </c>
      <c r="C53" s="118" t="e">
        <f>C33/C43</f>
        <v>#NUM!</v>
      </c>
      <c r="D53" s="118" t="e">
        <f t="shared" ref="D53:M53" si="2">D33/D43</f>
        <v>#NUM!</v>
      </c>
      <c r="E53" s="118" t="e">
        <f t="shared" si="2"/>
        <v>#NUM!</v>
      </c>
      <c r="F53" s="118" t="e">
        <f t="shared" si="2"/>
        <v>#NUM!</v>
      </c>
      <c r="G53" s="118" t="e">
        <f t="shared" si="2"/>
        <v>#NUM!</v>
      </c>
      <c r="H53" s="118" t="e">
        <f t="shared" si="2"/>
        <v>#NUM!</v>
      </c>
      <c r="I53" s="118" t="e">
        <f t="shared" si="2"/>
        <v>#NUM!</v>
      </c>
      <c r="J53" s="118" t="e">
        <f t="shared" si="2"/>
        <v>#NUM!</v>
      </c>
      <c r="K53" s="118" t="e">
        <f t="shared" si="2"/>
        <v>#NUM!</v>
      </c>
      <c r="L53" s="118" t="e">
        <f t="shared" si="2"/>
        <v>#NUM!</v>
      </c>
      <c r="M53" s="119" t="e">
        <f t="shared" si="2"/>
        <v>#NUM!</v>
      </c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>
      <c r="A54" s="10"/>
      <c r="B54" s="120" t="e">
        <f t="shared" ref="B54:M60" si="3">B34/B44</f>
        <v>#NUM!</v>
      </c>
      <c r="C54" s="121" t="e">
        <f t="shared" si="3"/>
        <v>#NUM!</v>
      </c>
      <c r="D54" s="121" t="e">
        <f t="shared" si="3"/>
        <v>#NUM!</v>
      </c>
      <c r="E54" s="121" t="e">
        <f t="shared" si="3"/>
        <v>#NUM!</v>
      </c>
      <c r="F54" s="121" t="e">
        <f t="shared" si="3"/>
        <v>#NUM!</v>
      </c>
      <c r="G54" s="121" t="e">
        <f t="shared" si="3"/>
        <v>#NUM!</v>
      </c>
      <c r="H54" s="121" t="e">
        <f t="shared" si="3"/>
        <v>#NUM!</v>
      </c>
      <c r="I54" s="121" t="e">
        <f t="shared" si="3"/>
        <v>#NUM!</v>
      </c>
      <c r="J54" s="121" t="e">
        <f t="shared" si="3"/>
        <v>#NUM!</v>
      </c>
      <c r="K54" s="121" t="e">
        <f t="shared" si="3"/>
        <v>#NUM!</v>
      </c>
      <c r="L54" s="121" t="e">
        <f t="shared" si="3"/>
        <v>#NUM!</v>
      </c>
      <c r="M54" s="122" t="e">
        <f t="shared" si="3"/>
        <v>#NUM!</v>
      </c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>
      <c r="A55" s="10"/>
      <c r="B55" s="120" t="e">
        <f t="shared" si="3"/>
        <v>#NUM!</v>
      </c>
      <c r="C55" s="121" t="e">
        <f t="shared" si="3"/>
        <v>#NUM!</v>
      </c>
      <c r="D55" s="121" t="e">
        <f t="shared" si="3"/>
        <v>#NUM!</v>
      </c>
      <c r="E55" s="121" t="e">
        <f t="shared" si="3"/>
        <v>#NUM!</v>
      </c>
      <c r="F55" s="121" t="e">
        <f t="shared" si="3"/>
        <v>#NUM!</v>
      </c>
      <c r="G55" s="121" t="e">
        <f t="shared" si="3"/>
        <v>#NUM!</v>
      </c>
      <c r="H55" s="121" t="e">
        <f t="shared" si="3"/>
        <v>#NUM!</v>
      </c>
      <c r="I55" s="121" t="e">
        <f t="shared" si="3"/>
        <v>#NUM!</v>
      </c>
      <c r="J55" s="121" t="e">
        <f t="shared" si="3"/>
        <v>#NUM!</v>
      </c>
      <c r="K55" s="121" t="e">
        <f t="shared" si="3"/>
        <v>#NUM!</v>
      </c>
      <c r="L55" s="121" t="e">
        <f t="shared" si="3"/>
        <v>#NUM!</v>
      </c>
      <c r="M55" s="122" t="e">
        <f t="shared" si="3"/>
        <v>#NUM!</v>
      </c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>
      <c r="A56" s="10"/>
      <c r="B56" s="120" t="e">
        <f t="shared" si="3"/>
        <v>#NUM!</v>
      </c>
      <c r="C56" s="121" t="e">
        <f t="shared" si="3"/>
        <v>#NUM!</v>
      </c>
      <c r="D56" s="121" t="e">
        <f t="shared" si="3"/>
        <v>#NUM!</v>
      </c>
      <c r="E56" s="121" t="e">
        <f t="shared" si="3"/>
        <v>#NUM!</v>
      </c>
      <c r="F56" s="121" t="e">
        <f t="shared" si="3"/>
        <v>#NUM!</v>
      </c>
      <c r="G56" s="121" t="e">
        <f t="shared" si="3"/>
        <v>#NUM!</v>
      </c>
      <c r="H56" s="121" t="e">
        <f t="shared" si="3"/>
        <v>#NUM!</v>
      </c>
      <c r="I56" s="121" t="e">
        <f t="shared" si="3"/>
        <v>#NUM!</v>
      </c>
      <c r="J56" s="121" t="e">
        <f t="shared" si="3"/>
        <v>#NUM!</v>
      </c>
      <c r="K56" s="121" t="e">
        <f t="shared" si="3"/>
        <v>#NUM!</v>
      </c>
      <c r="L56" s="121" t="e">
        <f t="shared" si="3"/>
        <v>#NUM!</v>
      </c>
      <c r="M56" s="122" t="e">
        <f t="shared" si="3"/>
        <v>#NUM!</v>
      </c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>
      <c r="A57" s="10"/>
      <c r="B57" s="120" t="e">
        <f t="shared" si="3"/>
        <v>#NUM!</v>
      </c>
      <c r="C57" s="121" t="e">
        <f t="shared" si="3"/>
        <v>#NUM!</v>
      </c>
      <c r="D57" s="121" t="e">
        <f t="shared" si="3"/>
        <v>#NUM!</v>
      </c>
      <c r="E57" s="121" t="e">
        <f t="shared" si="3"/>
        <v>#NUM!</v>
      </c>
      <c r="F57" s="121" t="e">
        <f t="shared" si="3"/>
        <v>#NUM!</v>
      </c>
      <c r="G57" s="121" t="e">
        <f t="shared" si="3"/>
        <v>#NUM!</v>
      </c>
      <c r="H57" s="121" t="e">
        <f t="shared" si="3"/>
        <v>#NUM!</v>
      </c>
      <c r="I57" s="121" t="e">
        <f t="shared" si="3"/>
        <v>#NUM!</v>
      </c>
      <c r="J57" s="121" t="e">
        <f t="shared" si="3"/>
        <v>#NUM!</v>
      </c>
      <c r="K57" s="121" t="e">
        <f t="shared" si="3"/>
        <v>#NUM!</v>
      </c>
      <c r="L57" s="121" t="e">
        <f t="shared" si="3"/>
        <v>#NUM!</v>
      </c>
      <c r="M57" s="122" t="e">
        <f t="shared" si="3"/>
        <v>#NUM!</v>
      </c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>
      <c r="A58" s="10"/>
      <c r="B58" s="120" t="e">
        <f t="shared" si="3"/>
        <v>#NUM!</v>
      </c>
      <c r="C58" s="121" t="e">
        <f t="shared" si="3"/>
        <v>#NUM!</v>
      </c>
      <c r="D58" s="121" t="e">
        <f t="shared" si="3"/>
        <v>#NUM!</v>
      </c>
      <c r="E58" s="121" t="e">
        <f t="shared" si="3"/>
        <v>#NUM!</v>
      </c>
      <c r="F58" s="121" t="e">
        <f t="shared" si="3"/>
        <v>#NUM!</v>
      </c>
      <c r="G58" s="121" t="e">
        <f t="shared" si="3"/>
        <v>#NUM!</v>
      </c>
      <c r="H58" s="121" t="e">
        <f t="shared" si="3"/>
        <v>#NUM!</v>
      </c>
      <c r="I58" s="121" t="e">
        <f t="shared" si="3"/>
        <v>#NUM!</v>
      </c>
      <c r="J58" s="121" t="e">
        <f t="shared" si="3"/>
        <v>#NUM!</v>
      </c>
      <c r="K58" s="121" t="e">
        <f t="shared" si="3"/>
        <v>#NUM!</v>
      </c>
      <c r="L58" s="121" t="e">
        <f t="shared" si="3"/>
        <v>#NUM!</v>
      </c>
      <c r="M58" s="122" t="e">
        <f t="shared" si="3"/>
        <v>#NUM!</v>
      </c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>
      <c r="A59" s="10"/>
      <c r="B59" s="120" t="e">
        <f t="shared" si="3"/>
        <v>#NUM!</v>
      </c>
      <c r="C59" s="121" t="e">
        <f t="shared" si="3"/>
        <v>#NUM!</v>
      </c>
      <c r="D59" s="121" t="e">
        <f t="shared" si="3"/>
        <v>#NUM!</v>
      </c>
      <c r="E59" s="121" t="e">
        <f t="shared" si="3"/>
        <v>#NUM!</v>
      </c>
      <c r="F59" s="121" t="e">
        <f t="shared" si="3"/>
        <v>#NUM!</v>
      </c>
      <c r="G59" s="121" t="e">
        <f t="shared" si="3"/>
        <v>#NUM!</v>
      </c>
      <c r="H59" s="121" t="e">
        <f t="shared" si="3"/>
        <v>#NUM!</v>
      </c>
      <c r="I59" s="121" t="e">
        <f t="shared" si="3"/>
        <v>#NUM!</v>
      </c>
      <c r="J59" s="121" t="e">
        <f t="shared" si="3"/>
        <v>#NUM!</v>
      </c>
      <c r="K59" s="121" t="e">
        <f t="shared" si="3"/>
        <v>#NUM!</v>
      </c>
      <c r="L59" s="121" t="e">
        <f t="shared" si="3"/>
        <v>#NUM!</v>
      </c>
      <c r="M59" s="122" t="e">
        <f t="shared" si="3"/>
        <v>#NUM!</v>
      </c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>
      <c r="A60" s="10"/>
      <c r="B60" s="123" t="e">
        <f t="shared" si="3"/>
        <v>#NUM!</v>
      </c>
      <c r="C60" s="124" t="e">
        <f t="shared" si="3"/>
        <v>#NUM!</v>
      </c>
      <c r="D60" s="124" t="e">
        <f t="shared" si="3"/>
        <v>#NUM!</v>
      </c>
      <c r="E60" s="124" t="e">
        <f t="shared" si="3"/>
        <v>#NUM!</v>
      </c>
      <c r="F60" s="124" t="e">
        <f t="shared" si="3"/>
        <v>#NUM!</v>
      </c>
      <c r="G60" s="124" t="e">
        <f t="shared" si="3"/>
        <v>#NUM!</v>
      </c>
      <c r="H60" s="124" t="e">
        <f t="shared" si="3"/>
        <v>#NUM!</v>
      </c>
      <c r="I60" s="124" t="e">
        <f t="shared" si="3"/>
        <v>#NUM!</v>
      </c>
      <c r="J60" s="124" t="e">
        <f t="shared" si="3"/>
        <v>#NUM!</v>
      </c>
      <c r="K60" s="124" t="e">
        <f t="shared" si="3"/>
        <v>#NUM!</v>
      </c>
      <c r="L60" s="124" t="e">
        <f t="shared" si="3"/>
        <v>#NUM!</v>
      </c>
      <c r="M60" s="125" t="e">
        <f t="shared" si="3"/>
        <v>#NUM!</v>
      </c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>
      <c r="A61" s="10"/>
      <c r="B61" s="10" t="s">
        <v>66</v>
      </c>
      <c r="C61" s="121"/>
      <c r="D61" s="121"/>
      <c r="E61" s="121"/>
      <c r="F61" s="121"/>
      <c r="G61" s="121"/>
      <c r="H61" s="10"/>
      <c r="I61" s="121"/>
      <c r="J61" s="121"/>
      <c r="K61" s="121"/>
      <c r="L61" s="121"/>
      <c r="M61" s="121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>
      <c r="A62" s="10"/>
      <c r="B62" s="10" t="s">
        <v>110</v>
      </c>
      <c r="C62" s="10" t="s">
        <v>109</v>
      </c>
      <c r="D62" s="10" t="s">
        <v>110</v>
      </c>
      <c r="E62" s="10" t="s">
        <v>109</v>
      </c>
      <c r="F62" s="10" t="s">
        <v>110</v>
      </c>
      <c r="G62" s="10" t="s">
        <v>109</v>
      </c>
      <c r="H62" s="10"/>
      <c r="I62" s="10"/>
      <c r="J62" s="10"/>
      <c r="K62" s="10"/>
      <c r="L62" s="10"/>
      <c r="M62" s="10"/>
      <c r="N62" s="10" t="s">
        <v>330</v>
      </c>
      <c r="O62" s="10" t="s">
        <v>331</v>
      </c>
      <c r="P62" s="142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>
      <c r="A63" s="10">
        <v>0</v>
      </c>
      <c r="B63" s="137" t="e">
        <f>AVERAGE(B43:B46)</f>
        <v>#NUM!</v>
      </c>
      <c r="C63" s="137" t="e">
        <f>STDEV(B43:B46)</f>
        <v>#NUM!</v>
      </c>
      <c r="D63" s="132" t="e">
        <f>AVERAGE(B33:B36)</f>
        <v>#NUM!</v>
      </c>
      <c r="E63" s="132" t="e">
        <f>STDEV(B33:B36)</f>
        <v>#NUM!</v>
      </c>
      <c r="F63" s="236" t="e">
        <f>AVERAGE(B53:B56)</f>
        <v>#NUM!</v>
      </c>
      <c r="G63" s="236" t="e">
        <f>STDEV(B53:B56)</f>
        <v>#NUM!</v>
      </c>
      <c r="H63" s="138"/>
      <c r="I63" s="138"/>
      <c r="J63" s="138"/>
      <c r="K63" s="138"/>
      <c r="L63" s="121"/>
      <c r="M63" s="121"/>
      <c r="N63" s="10" t="e">
        <f>F63/F$63</f>
        <v>#NUM!</v>
      </c>
      <c r="O63" s="10" t="e">
        <f>B63/$B$63</f>
        <v>#NUM!</v>
      </c>
      <c r="P63" s="10"/>
      <c r="Q63" s="10"/>
      <c r="R63" s="10" t="e">
        <f>IF(AND(O63&gt;=0.05,N63&gt;=1.4),1,0)</f>
        <v>#NUM!</v>
      </c>
      <c r="S63" s="10" t="e">
        <f>IF(AND(O63&gt;=0.05,N63&gt;=5),1,0)</f>
        <v>#NUM!</v>
      </c>
      <c r="T63" s="10"/>
      <c r="U63" s="10"/>
      <c r="V63" s="237">
        <v>1.4</v>
      </c>
      <c r="W63" s="237">
        <v>5</v>
      </c>
      <c r="X63" s="10"/>
      <c r="Y63" s="10"/>
      <c r="Z63" s="10"/>
      <c r="AA63" s="10"/>
      <c r="AB63" s="10"/>
    </row>
    <row r="64" spans="1:28">
      <c r="A64" s="10" t="s">
        <v>236</v>
      </c>
      <c r="B64" s="137" t="e">
        <f>AVERAGE(C43:C46)</f>
        <v>#NUM!</v>
      </c>
      <c r="C64" s="137" t="e">
        <f>STDEV(C43:C46)</f>
        <v>#NUM!</v>
      </c>
      <c r="D64" s="132" t="e">
        <f>AVERAGE(C33:C36)</f>
        <v>#NUM!</v>
      </c>
      <c r="E64" s="132" t="e">
        <f>STDEV(C33:C36)</f>
        <v>#NUM!</v>
      </c>
      <c r="F64" s="236" t="e">
        <f>AVERAGE(C53:C56)</f>
        <v>#NUM!</v>
      </c>
      <c r="G64" s="236" t="e">
        <f>STDEV(C53:C56)</f>
        <v>#NUM!</v>
      </c>
      <c r="H64" s="138"/>
      <c r="I64" s="138"/>
      <c r="J64" s="138"/>
      <c r="K64" s="138"/>
      <c r="L64" s="121"/>
      <c r="M64" s="121"/>
      <c r="N64" s="10" t="e">
        <f>F64/F$63</f>
        <v>#NUM!</v>
      </c>
      <c r="O64" s="10" t="e">
        <f t="shared" ref="O64:O66" si="4">B64/$B$63</f>
        <v>#NUM!</v>
      </c>
      <c r="P64" s="10"/>
      <c r="Q64" s="10"/>
      <c r="R64" s="10" t="e">
        <f t="shared" ref="R64:R66" si="5">IF(AND(O64&gt;=0.05,N64&gt;=1.4),1,0)</f>
        <v>#NUM!</v>
      </c>
      <c r="S64" s="10" t="e">
        <f>IF(AND(O64&gt;=0.05,N64&gt;=5),1,0)</f>
        <v>#NUM!</v>
      </c>
      <c r="T64" s="10"/>
      <c r="U64" s="10"/>
      <c r="V64" s="237">
        <v>1.4</v>
      </c>
      <c r="W64" s="237">
        <v>5</v>
      </c>
      <c r="X64" s="10"/>
      <c r="Y64" s="10"/>
      <c r="Z64" s="10"/>
      <c r="AA64" s="10"/>
      <c r="AB64" s="10"/>
    </row>
    <row r="65" spans="1:28">
      <c r="A65" s="10" t="s">
        <v>238</v>
      </c>
      <c r="B65" s="137" t="e">
        <f>AVERAGE(D43:D46)</f>
        <v>#NUM!</v>
      </c>
      <c r="C65" s="137" t="e">
        <f>STDEV(D43:D46)</f>
        <v>#NUM!</v>
      </c>
      <c r="D65" s="132" t="e">
        <f>AVERAGE(D33:D36)</f>
        <v>#NUM!</v>
      </c>
      <c r="E65" s="132" t="e">
        <f>STDEV(D33:D36)</f>
        <v>#NUM!</v>
      </c>
      <c r="F65" s="236" t="e">
        <f>AVERAGE(D53:D56)</f>
        <v>#NUM!</v>
      </c>
      <c r="G65" s="236" t="e">
        <f>STDEV(D53:D56)</f>
        <v>#NUM!</v>
      </c>
      <c r="H65" s="138"/>
      <c r="I65" s="138"/>
      <c r="J65" s="138"/>
      <c r="K65" s="138"/>
      <c r="L65" s="121"/>
      <c r="M65" s="121"/>
      <c r="N65" s="10" t="e">
        <f>F65/F$63</f>
        <v>#NUM!</v>
      </c>
      <c r="O65" s="10" t="e">
        <f t="shared" si="4"/>
        <v>#NUM!</v>
      </c>
      <c r="P65" s="10"/>
      <c r="Q65" s="10"/>
      <c r="R65" s="10" t="e">
        <f t="shared" si="5"/>
        <v>#NUM!</v>
      </c>
      <c r="S65" s="10" t="e">
        <f>IF(AND(O65&gt;=0.05,N65&gt;=5),1,0)</f>
        <v>#NUM!</v>
      </c>
      <c r="T65" s="10"/>
      <c r="U65" s="10"/>
      <c r="V65" s="237">
        <v>1.4</v>
      </c>
      <c r="W65" s="237">
        <v>5</v>
      </c>
      <c r="X65" s="10"/>
      <c r="Y65" s="10"/>
      <c r="Z65" s="10"/>
      <c r="AA65" s="10"/>
      <c r="AB65" s="10"/>
    </row>
    <row r="66" spans="1:28">
      <c r="A66" s="10" t="s">
        <v>237</v>
      </c>
      <c r="B66" s="137" t="e">
        <f>AVERAGE(E43:E46)</f>
        <v>#NUM!</v>
      </c>
      <c r="C66" s="137" t="e">
        <f>STDEV(E43:E46)</f>
        <v>#NUM!</v>
      </c>
      <c r="D66" s="132" t="e">
        <f>AVERAGE(E33:E36)</f>
        <v>#NUM!</v>
      </c>
      <c r="E66" s="132" t="e">
        <f>STDEV(E33:E36)</f>
        <v>#NUM!</v>
      </c>
      <c r="F66" s="236" t="e">
        <f>AVERAGE(E53:E56)</f>
        <v>#NUM!</v>
      </c>
      <c r="G66" s="236" t="e">
        <f>STDEV(E53:E56)</f>
        <v>#NUM!</v>
      </c>
      <c r="H66" s="138"/>
      <c r="I66" s="138"/>
      <c r="J66" s="138"/>
      <c r="K66" s="138"/>
      <c r="L66" s="121"/>
      <c r="M66" s="121"/>
      <c r="N66" s="10" t="e">
        <f>F66/F$63</f>
        <v>#NUM!</v>
      </c>
      <c r="O66" s="10" t="e">
        <f t="shared" si="4"/>
        <v>#NUM!</v>
      </c>
      <c r="P66" s="10"/>
      <c r="Q66" s="10"/>
      <c r="R66" s="10" t="e">
        <f t="shared" si="5"/>
        <v>#NUM!</v>
      </c>
      <c r="S66" s="10" t="e">
        <f>IF(AND(O66&gt;=0.05,N66&gt;=5),1,0)</f>
        <v>#NUM!</v>
      </c>
      <c r="T66" s="10"/>
      <c r="U66" s="10"/>
      <c r="V66" s="237">
        <v>1.4</v>
      </c>
      <c r="W66" s="237">
        <v>5</v>
      </c>
      <c r="X66" s="10"/>
      <c r="Y66" s="10"/>
      <c r="Z66" s="10"/>
      <c r="AA66" s="10"/>
      <c r="AB66" s="10"/>
    </row>
    <row r="67" spans="1:28">
      <c r="A67" s="10"/>
      <c r="B67" s="138"/>
      <c r="C67" s="138"/>
      <c r="D67" s="138"/>
      <c r="E67" s="138"/>
      <c r="F67" s="236"/>
      <c r="G67" s="236"/>
      <c r="H67" s="138"/>
      <c r="I67" s="138"/>
      <c r="J67" s="138"/>
      <c r="K67" s="138"/>
      <c r="L67" s="121"/>
      <c r="M67" s="121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>
      <c r="A68" s="10"/>
      <c r="B68" s="138"/>
      <c r="C68" s="138"/>
      <c r="D68" s="138"/>
      <c r="E68" s="138"/>
      <c r="F68" s="236"/>
      <c r="G68" s="236"/>
      <c r="H68" s="138"/>
      <c r="I68" s="138"/>
      <c r="J68" s="138"/>
      <c r="K68" s="138"/>
      <c r="L68" s="121"/>
      <c r="M68" s="121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>
      <c r="A69" s="10"/>
      <c r="B69" s="138"/>
      <c r="C69" s="138"/>
      <c r="D69" s="138"/>
      <c r="E69" s="138"/>
      <c r="F69" s="138"/>
      <c r="G69" s="138"/>
      <c r="H69" s="138"/>
      <c r="I69" s="138"/>
      <c r="J69" s="138"/>
      <c r="K69" s="138"/>
      <c r="L69" s="138"/>
      <c r="M69" s="138"/>
      <c r="N69" s="10"/>
      <c r="O69" s="10"/>
      <c r="P69" s="10"/>
      <c r="Q69" s="10"/>
      <c r="R69" s="10" t="e">
        <f>SUM(R63:R66)</f>
        <v>#NUM!</v>
      </c>
      <c r="S69" s="10" t="e">
        <f>SUM(S63:S66)</f>
        <v>#NUM!</v>
      </c>
      <c r="T69" s="10"/>
      <c r="U69" s="10"/>
      <c r="V69" s="10"/>
      <c r="W69" s="10"/>
      <c r="X69" s="10"/>
      <c r="Y69" s="10"/>
      <c r="Z69" s="10"/>
      <c r="AA69" s="10"/>
      <c r="AB69" s="10"/>
    </row>
    <row r="70" spans="1:28">
      <c r="A70" s="10"/>
      <c r="B70" s="138"/>
      <c r="C70" s="138"/>
      <c r="D70" s="138"/>
      <c r="E70" s="138"/>
      <c r="F70" s="138"/>
      <c r="G70" s="138"/>
      <c r="H70" s="138"/>
      <c r="I70" s="138"/>
      <c r="J70" s="138"/>
      <c r="K70" s="138"/>
      <c r="L70" s="138"/>
      <c r="M70" s="138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>
      <c r="A72" s="10"/>
      <c r="B72" s="10"/>
      <c r="C72" s="309" t="s">
        <v>239</v>
      </c>
      <c r="D72" s="309"/>
      <c r="E72" s="309"/>
      <c r="F72" s="10"/>
      <c r="G72" s="308" t="e">
        <f>IF(S69&gt;=1,"Clear","Not Clear")</f>
        <v>#NUM!</v>
      </c>
      <c r="H72" s="308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>
      <c r="A73" s="10"/>
      <c r="B73" s="10"/>
      <c r="C73" s="309"/>
      <c r="D73" s="309"/>
      <c r="E73" s="309"/>
      <c r="F73" s="10"/>
      <c r="G73" s="308"/>
      <c r="H73" s="308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>
      <c r="A76" s="10"/>
      <c r="B76" s="10"/>
      <c r="C76" s="309" t="s">
        <v>240</v>
      </c>
      <c r="D76" s="309"/>
      <c r="E76" s="309"/>
      <c r="F76" s="10"/>
      <c r="G76" s="308" t="e">
        <f>IF(R69=0,"Clear","Not Clear")</f>
        <v>#NUM!</v>
      </c>
      <c r="H76" s="308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>
      <c r="A77" s="10"/>
      <c r="B77" s="138"/>
      <c r="C77" s="309"/>
      <c r="D77" s="309"/>
      <c r="E77" s="309"/>
      <c r="F77" s="138"/>
      <c r="G77" s="308"/>
      <c r="H77" s="308"/>
      <c r="I77" s="138"/>
      <c r="J77" s="138"/>
      <c r="K77" s="138"/>
      <c r="L77" s="138"/>
      <c r="M77" s="138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>
      <c r="A78" s="10"/>
      <c r="B78" s="138"/>
      <c r="C78" s="138"/>
      <c r="D78" s="138"/>
      <c r="E78" s="138"/>
      <c r="F78" s="138"/>
      <c r="G78" s="138"/>
      <c r="H78" s="138"/>
      <c r="I78" s="138"/>
      <c r="J78" s="138"/>
      <c r="K78" s="138"/>
      <c r="L78" s="138"/>
      <c r="M78" s="138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>
      <c r="A79" s="10"/>
      <c r="B79" s="138"/>
      <c r="C79" s="138"/>
      <c r="D79" s="138"/>
      <c r="E79" s="138"/>
      <c r="F79" s="138"/>
      <c r="G79" s="138"/>
      <c r="H79" s="138"/>
      <c r="I79" s="138"/>
      <c r="J79" s="138"/>
      <c r="K79" s="138"/>
      <c r="L79" s="138"/>
      <c r="M79" s="138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>
      <c r="A80" s="10"/>
      <c r="B80" s="138"/>
      <c r="C80" s="138"/>
      <c r="D80" s="138"/>
      <c r="E80" s="138"/>
      <c r="F80" s="138"/>
      <c r="G80" s="138"/>
      <c r="H80" s="138"/>
      <c r="I80" s="138"/>
      <c r="J80" s="138"/>
      <c r="K80" s="138"/>
      <c r="L80" s="138"/>
      <c r="M80" s="138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>
      <c r="A87" s="10"/>
      <c r="B87" s="121"/>
      <c r="C87" s="121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>
      <c r="A88" s="10"/>
      <c r="B88" s="121"/>
      <c r="C88" s="121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>
      <c r="A89" s="10"/>
      <c r="B89" s="121"/>
      <c r="C89" s="121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>
      <c r="A90" s="10"/>
      <c r="B90" s="121"/>
      <c r="C90" s="121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>
      <c r="A92" s="10"/>
      <c r="B92" s="121"/>
      <c r="C92" s="121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>
      <c r="A93" s="10"/>
      <c r="B93" s="121"/>
      <c r="C93" s="121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>
      <c r="A94" s="10"/>
      <c r="B94" s="121"/>
      <c r="C94" s="121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>
      <c r="A95" s="10"/>
      <c r="B95" s="121"/>
      <c r="C95" s="121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>
      <c r="A96" s="5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</row>
    <row r="97" spans="1:13">
      <c r="A97" s="5"/>
    </row>
    <row r="98" spans="1:13">
      <c r="A98" s="5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</row>
    <row r="99" spans="1:13">
      <c r="A99" s="5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</row>
    <row r="100" spans="1:13">
      <c r="A100" s="5"/>
    </row>
    <row r="101" spans="1:13">
      <c r="A101" s="5"/>
    </row>
    <row r="102" spans="1:13">
      <c r="A102" s="5"/>
    </row>
    <row r="103" spans="1:13">
      <c r="A103" s="5"/>
    </row>
    <row r="104" spans="1:13">
      <c r="A104" s="5"/>
    </row>
    <row r="105" spans="1:13">
      <c r="A105" s="5"/>
    </row>
    <row r="106" spans="1:13">
      <c r="A106" s="5"/>
    </row>
    <row r="107" spans="1:13">
      <c r="A107" s="5"/>
    </row>
    <row r="108" spans="1:13">
      <c r="A108" s="5"/>
    </row>
    <row r="109" spans="1:13">
      <c r="A109" s="5"/>
    </row>
    <row r="110" spans="1:13">
      <c r="A110" s="5"/>
    </row>
    <row r="111" spans="1:13">
      <c r="A111" s="5"/>
    </row>
    <row r="112" spans="1:13">
      <c r="A112" s="5"/>
    </row>
  </sheetData>
  <mergeCells count="4">
    <mergeCell ref="G72:H73"/>
    <mergeCell ref="C72:E73"/>
    <mergeCell ref="C76:E77"/>
    <mergeCell ref="G76:H77"/>
  </mergeCells>
  <phoneticPr fontId="1"/>
  <conditionalFormatting sqref="G72:H73">
    <cfRule type="notContainsText" dxfId="3" priority="3" stopIfTrue="1" operator="notContains" text="Not">
      <formula>ISERROR(SEARCH("Not",G72))</formula>
    </cfRule>
    <cfRule type="containsText" dxfId="2" priority="4" stopIfTrue="1" operator="containsText" text="Not">
      <formula>NOT(ISERROR(SEARCH("Not",G72)))</formula>
    </cfRule>
  </conditionalFormatting>
  <conditionalFormatting sqref="G76:H77">
    <cfRule type="notContainsText" dxfId="1" priority="1" stopIfTrue="1" operator="notContains" text="Not">
      <formula>ISERROR(SEARCH("Not",G76))</formula>
    </cfRule>
    <cfRule type="containsText" dxfId="0" priority="2" stopIfTrue="1" operator="containsText" text="Not">
      <formula>NOT(ISERROR(SEARCH("Not",G76)))</formula>
    </cfRule>
  </conditionalFormatting>
  <pageMargins left="0.75" right="0.75" top="1" bottom="1" header="0.51200000000000001" footer="0.51200000000000001"/>
  <pageSetup paperSize="9" scale="71"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52"/>
  <sheetViews>
    <sheetView zoomScaleNormal="100" zoomScalePageLayoutView="98" workbookViewId="0">
      <selection activeCell="X26" sqref="X26"/>
    </sheetView>
  </sheetViews>
  <sheetFormatPr baseColWidth="10" defaultColWidth="8.796875" defaultRowHeight="14"/>
  <cols>
    <col min="2" max="2" width="14.3984375" customWidth="1"/>
    <col min="3" max="3" width="11.59765625" customWidth="1"/>
  </cols>
  <sheetData>
    <row r="1" spans="1:15">
      <c r="C1" s="33" t="s">
        <v>193</v>
      </c>
      <c r="K1" t="s">
        <v>222</v>
      </c>
      <c r="L1">
        <f>_xlfn.NORM.S.INV(0.975)</f>
        <v>1.9599639845400536</v>
      </c>
    </row>
    <row r="2" spans="1:15">
      <c r="C2" s="30" t="s">
        <v>192</v>
      </c>
      <c r="K2" t="s">
        <v>223</v>
      </c>
      <c r="L2">
        <f>L1^2</f>
        <v>3.8414588206941236</v>
      </c>
    </row>
    <row r="3" spans="1:15">
      <c r="K3" t="s">
        <v>191</v>
      </c>
      <c r="L3">
        <v>1.96</v>
      </c>
    </row>
    <row r="4" spans="1:15" ht="15" thickBot="1"/>
    <row r="5" spans="1:15" ht="15" thickBot="1">
      <c r="A5" s="312" t="s">
        <v>190</v>
      </c>
      <c r="B5" s="35" t="e">
        <f>ResultFormat!B75</f>
        <v>#NUM!</v>
      </c>
      <c r="C5" s="33" t="s">
        <v>189</v>
      </c>
      <c r="D5" s="34" t="e">
        <f>AVERAGE(B5:B8)</f>
        <v>#NUM!</v>
      </c>
      <c r="E5" t="s">
        <v>160</v>
      </c>
      <c r="F5" t="e">
        <f>D5/$D$5</f>
        <v>#NUM!</v>
      </c>
      <c r="K5" t="s">
        <v>177</v>
      </c>
      <c r="L5" t="e">
        <f>D5^2-$L$3^2*D6^2/D7</f>
        <v>#NUM!</v>
      </c>
      <c r="M5" t="s">
        <v>188</v>
      </c>
    </row>
    <row r="6" spans="1:15" ht="15" thickBot="1">
      <c r="A6" s="310"/>
      <c r="B6" s="35" t="e">
        <f>ResultFormat!B76</f>
        <v>#NUM!</v>
      </c>
      <c r="C6" s="33" t="s">
        <v>187</v>
      </c>
      <c r="D6" s="33" t="e">
        <f>_xlfn.STDEV.S(B5:B8)</f>
        <v>#NUM!</v>
      </c>
      <c r="E6" t="s">
        <v>159</v>
      </c>
      <c r="K6" t="s">
        <v>174</v>
      </c>
      <c r="M6" t="s">
        <v>186</v>
      </c>
    </row>
    <row r="7" spans="1:15" ht="15" thickBot="1">
      <c r="A7" s="310"/>
      <c r="B7" s="35" t="e">
        <f>ResultFormat!B77</f>
        <v>#NUM!</v>
      </c>
      <c r="C7" s="33" t="s">
        <v>185</v>
      </c>
      <c r="D7" s="33">
        <f>COUNT(B5:B8)</f>
        <v>0</v>
      </c>
      <c r="E7" t="s">
        <v>158</v>
      </c>
      <c r="K7" t="s">
        <v>179</v>
      </c>
      <c r="M7" t="s">
        <v>184</v>
      </c>
    </row>
    <row r="8" spans="1:15">
      <c r="A8" s="310"/>
      <c r="B8" s="35" t="e">
        <f>ResultFormat!B78</f>
        <v>#NUM!</v>
      </c>
    </row>
    <row r="9" spans="1:15">
      <c r="A9" s="310" t="s">
        <v>183</v>
      </c>
      <c r="B9" s="31" t="e">
        <f>ResultFormat!C75</f>
        <v>#NUM!</v>
      </c>
      <c r="C9" s="30" t="s">
        <v>178</v>
      </c>
      <c r="D9" s="32" t="e">
        <f>AVERAGE(B9:B12)</f>
        <v>#NUM!</v>
      </c>
      <c r="E9" t="s">
        <v>160</v>
      </c>
      <c r="F9" t="e">
        <f>D9/$D$5</f>
        <v>#NUM!</v>
      </c>
      <c r="K9" t="s">
        <v>177</v>
      </c>
      <c r="L9" t="e">
        <f>$D$5^2-O10^2*$D$6^2/$D$7</f>
        <v>#NUM!</v>
      </c>
      <c r="N9" t="s">
        <v>176</v>
      </c>
      <c r="O9" t="e">
        <f>($D$6^2/$D$7+D10^2/D11)^2/(($D$6^2/$D$7)^2/($D$7-1)+((D10^2/D11)^2/(D11-1)))</f>
        <v>#NUM!</v>
      </c>
    </row>
    <row r="10" spans="1:15">
      <c r="A10" s="310"/>
      <c r="B10" s="31" t="e">
        <f>ResultFormat!C76</f>
        <v>#NUM!</v>
      </c>
      <c r="C10" s="30" t="s">
        <v>175</v>
      </c>
      <c r="D10" s="30" t="e">
        <f>_xlfn.STDEV.S(B9:B12)</f>
        <v>#NUM!</v>
      </c>
      <c r="E10" t="s">
        <v>159</v>
      </c>
      <c r="F10" t="e">
        <f>(-L10-SQRT(L10^2-4*L9*L11))/(2*L9)</f>
        <v>#NUM!</v>
      </c>
      <c r="K10" t="s">
        <v>182</v>
      </c>
      <c r="L10" t="e">
        <f>-2*$D$5*D9</f>
        <v>#NUM!</v>
      </c>
      <c r="N10" t="s">
        <v>181</v>
      </c>
      <c r="O10" t="e">
        <f>$L$1*(1+($L$2+1)/(4*O9)+((5*$L$2+16)*$L$2+3)/(96*O9*O9)+(((3*$L$2+19)*$L$2+17)*$L$2-15)/(384*O9*O9*O9)+((((79*$L$2+776)*$L$2+1482)*$L$2-1920*$L$2-945)/(92160*O9*O9*O9*O9)+(((((27*$L$2+339)*$L$2+930)*$L$2-1782)*$L$2-765)*$L$2+17955)/(368640*O9*O9*O9*O9*O9)))</f>
        <v>#NUM!</v>
      </c>
    </row>
    <row r="11" spans="1:15">
      <c r="A11" s="310"/>
      <c r="B11" s="31" t="e">
        <f>ResultFormat!C77</f>
        <v>#NUM!</v>
      </c>
      <c r="C11" s="30" t="s">
        <v>180</v>
      </c>
      <c r="D11" s="30">
        <f>COUNT(B9:B12)</f>
        <v>0</v>
      </c>
      <c r="E11" t="s">
        <v>158</v>
      </c>
      <c r="F11" t="e">
        <f>(-L10+SQRT(L10^2-4*L9*L11))/(2*L9)</f>
        <v>#NUM!</v>
      </c>
      <c r="K11" t="s">
        <v>179</v>
      </c>
      <c r="L11" t="e">
        <f>D9^2-O10^2*D10^2/D11</f>
        <v>#NUM!</v>
      </c>
    </row>
    <row r="12" spans="1:15">
      <c r="A12" s="310"/>
      <c r="B12" s="31" t="e">
        <f>ResultFormat!C78</f>
        <v>#NUM!</v>
      </c>
    </row>
    <row r="13" spans="1:15">
      <c r="A13" s="310" t="s">
        <v>170</v>
      </c>
      <c r="B13" s="31" t="e">
        <f>ResultFormat!D75</f>
        <v>#NUM!</v>
      </c>
      <c r="C13" s="30" t="s">
        <v>178</v>
      </c>
      <c r="D13" s="32" t="e">
        <f>AVERAGE(B13:B16)</f>
        <v>#NUM!</v>
      </c>
      <c r="E13" t="s">
        <v>160</v>
      </c>
      <c r="F13" t="e">
        <f>D13/$D$5</f>
        <v>#NUM!</v>
      </c>
      <c r="K13" t="s">
        <v>177</v>
      </c>
      <c r="L13" t="e">
        <f>$D$5^2-O14^2*$D$6^2/$D$7</f>
        <v>#NUM!</v>
      </c>
      <c r="N13" t="s">
        <v>176</v>
      </c>
      <c r="O13" t="e">
        <f>($D$6^2/$D$7+D14^2/D15)^2/(($D$6^2/$D$7)^2/($D$7-1)+((D14^2/D15)^2/(D15-1)))</f>
        <v>#NUM!</v>
      </c>
    </row>
    <row r="14" spans="1:15">
      <c r="A14" s="310"/>
      <c r="B14" s="31" t="e">
        <f>ResultFormat!D76</f>
        <v>#NUM!</v>
      </c>
      <c r="C14" s="30" t="s">
        <v>175</v>
      </c>
      <c r="D14" s="30" t="e">
        <f>_xlfn.STDEV.S(B13:B16)</f>
        <v>#NUM!</v>
      </c>
      <c r="E14" t="s">
        <v>159</v>
      </c>
      <c r="F14" t="e">
        <f>(-L14-SQRT(L14^2-4*L13*L15))/(2*L13)</f>
        <v>#NUM!</v>
      </c>
      <c r="K14" t="s">
        <v>182</v>
      </c>
      <c r="L14" t="e">
        <f>-2*$D$5*D13</f>
        <v>#NUM!</v>
      </c>
      <c r="N14" t="s">
        <v>181</v>
      </c>
      <c r="O14" t="e">
        <f>$L$1*(1+($L$2+1)/(4*O13)+((5*$L$2+16)*$L$2+3)/(96*O13*O13)+(((3*$L$2+19)*$L$2+17)*$L$2-15)/(384*O13*O13*O13)+((((79*$L$2+776)*$L$2+1482)*$L$2-1920*$L$2-945)/(92160*O13*O13*O13*O13)+(((((27*$L$2+339)*$L$2+930)*$L$2-1782)*$L$2-765)*$L$2+17955)/(368640*O13*O13*O13*O13*O13)))</f>
        <v>#NUM!</v>
      </c>
    </row>
    <row r="15" spans="1:15">
      <c r="A15" s="310"/>
      <c r="B15" s="31" t="e">
        <f>ResultFormat!D77</f>
        <v>#NUM!</v>
      </c>
      <c r="C15" s="30" t="s">
        <v>180</v>
      </c>
      <c r="D15" s="30">
        <f>COUNT(B13:B16)</f>
        <v>0</v>
      </c>
      <c r="E15" t="s">
        <v>158</v>
      </c>
      <c r="F15" t="e">
        <f>(-L14+SQRT(L14^2-4*L13*L15))/(2*L13)</f>
        <v>#NUM!</v>
      </c>
      <c r="K15" t="s">
        <v>179</v>
      </c>
      <c r="L15" t="e">
        <f>D13^2-O14^2*D14^2/D15</f>
        <v>#NUM!</v>
      </c>
    </row>
    <row r="16" spans="1:15">
      <c r="A16" s="310"/>
      <c r="B16" s="31" t="e">
        <f>ResultFormat!D78</f>
        <v>#NUM!</v>
      </c>
    </row>
    <row r="17" spans="1:15">
      <c r="A17" s="310" t="s">
        <v>169</v>
      </c>
      <c r="B17" s="31" t="e">
        <f>ResultFormat!E75</f>
        <v>#NUM!</v>
      </c>
      <c r="C17" s="30" t="s">
        <v>178</v>
      </c>
      <c r="D17" s="32" t="e">
        <f>AVERAGE(B17:B20)</f>
        <v>#NUM!</v>
      </c>
      <c r="E17" t="s">
        <v>160</v>
      </c>
      <c r="F17" t="e">
        <f>D17/$D$5</f>
        <v>#NUM!</v>
      </c>
      <c r="K17" t="s">
        <v>177</v>
      </c>
      <c r="L17" t="e">
        <f>$D$5^2-O18^2*$D$6^2/$D$7</f>
        <v>#NUM!</v>
      </c>
      <c r="N17" t="s">
        <v>176</v>
      </c>
      <c r="O17" t="e">
        <f>($D$6^2/$D$7+D18^2/D19)^2/(($D$6^2/$D$7)^2/($D$7-1)+((D18^2/D19)^2/(D19-1)))</f>
        <v>#NUM!</v>
      </c>
    </row>
    <row r="18" spans="1:15">
      <c r="A18" s="310"/>
      <c r="B18" s="31" t="e">
        <f>ResultFormat!E76</f>
        <v>#NUM!</v>
      </c>
      <c r="C18" s="30" t="s">
        <v>175</v>
      </c>
      <c r="D18" s="30" t="e">
        <f>_xlfn.STDEV.S(B17:B20)</f>
        <v>#NUM!</v>
      </c>
      <c r="E18" t="s">
        <v>159</v>
      </c>
      <c r="F18" t="e">
        <f>(-L18-SQRT(L18^2-4*L17*L19))/(2*L17)</f>
        <v>#NUM!</v>
      </c>
      <c r="K18" t="s">
        <v>182</v>
      </c>
      <c r="L18" t="e">
        <f>-2*$D$5*D17</f>
        <v>#NUM!</v>
      </c>
      <c r="N18" t="s">
        <v>181</v>
      </c>
      <c r="O18" t="e">
        <f>$L$1*(1+($L$2+1)/(4*O17)+((5*$L$2+16)*$L$2+3)/(96*O17*O17)+(((3*$L$2+19)*$L$2+17)*$L$2-15)/(384*O17*O17*O17)+((((79*$L$2+776)*$L$2+1482)*$L$2-1920*$L$2-945)/(92160*O17*O17*O17*O17)+(((((27*$L$2+339)*$L$2+930)*$L$2-1782)*$L$2-765)*$L$2+17955)/(368640*O17*O17*O17*O17*O17)))</f>
        <v>#NUM!</v>
      </c>
    </row>
    <row r="19" spans="1:15">
      <c r="A19" s="310"/>
      <c r="B19" s="31" t="e">
        <f>ResultFormat!E77</f>
        <v>#NUM!</v>
      </c>
      <c r="C19" s="30" t="s">
        <v>180</v>
      </c>
      <c r="D19" s="30">
        <f>COUNT(B17:B20)</f>
        <v>0</v>
      </c>
      <c r="E19" t="s">
        <v>158</v>
      </c>
      <c r="F19" t="e">
        <f>(-L18+SQRT(L18^2-4*L17*L19))/(2*L17)</f>
        <v>#NUM!</v>
      </c>
      <c r="K19" t="s">
        <v>179</v>
      </c>
      <c r="L19" t="e">
        <f>D17^2-O18^2*D18^2/D19</f>
        <v>#NUM!</v>
      </c>
    </row>
    <row r="20" spans="1:15">
      <c r="A20" s="310"/>
      <c r="B20" s="31" t="e">
        <f>ResultFormat!E78</f>
        <v>#NUM!</v>
      </c>
    </row>
    <row r="21" spans="1:15">
      <c r="A21" s="310" t="s">
        <v>168</v>
      </c>
      <c r="B21" s="31" t="e">
        <f>ResultFormat!F75</f>
        <v>#NUM!</v>
      </c>
      <c r="C21" s="30" t="s">
        <v>178</v>
      </c>
      <c r="D21" s="32" t="e">
        <f>AVERAGE(B21:B24)</f>
        <v>#NUM!</v>
      </c>
      <c r="E21" t="s">
        <v>160</v>
      </c>
      <c r="F21" t="e">
        <f>D21/$D$5</f>
        <v>#NUM!</v>
      </c>
      <c r="K21" t="s">
        <v>177</v>
      </c>
      <c r="L21" t="e">
        <f>$D$5^2-O22^2*$D$6^2/$D$7</f>
        <v>#NUM!</v>
      </c>
      <c r="N21" t="s">
        <v>176</v>
      </c>
      <c r="O21" t="e">
        <f>($D$6^2/$D$7+D22^2/D23)^2/(($D$6^2/$D$7)^2/($D$7-1)+((D22^2/D23)^2/(D23-1)))</f>
        <v>#NUM!</v>
      </c>
    </row>
    <row r="22" spans="1:15">
      <c r="A22" s="310"/>
      <c r="B22" s="31" t="e">
        <f>ResultFormat!F76</f>
        <v>#NUM!</v>
      </c>
      <c r="C22" s="30" t="s">
        <v>175</v>
      </c>
      <c r="D22" s="30" t="e">
        <f>_xlfn.STDEV.S(B21:B24)</f>
        <v>#NUM!</v>
      </c>
      <c r="E22" t="s">
        <v>159</v>
      </c>
      <c r="F22" t="e">
        <f>(-L22-SQRT(L22^2-4*L21*L23))/(2*L21)</f>
        <v>#NUM!</v>
      </c>
      <c r="K22" t="s">
        <v>182</v>
      </c>
      <c r="L22" t="e">
        <f>-2*$D$5*D21</f>
        <v>#NUM!</v>
      </c>
      <c r="N22" t="s">
        <v>181</v>
      </c>
      <c r="O22" t="e">
        <f>$L$1*(1+($L$2+1)/(4*O21)+((5*$L$2+16)*$L$2+3)/(96*O21*O21)+(((3*$L$2+19)*$L$2+17)*$L$2-15)/(384*O21*O21*O21)+((((79*$L$2+776)*$L$2+1482)*$L$2-1920*$L$2-945)/(92160*O21*O21*O21*O21)+(((((27*$L$2+339)*$L$2+930)*$L$2-1782)*$L$2-765)*$L$2+17955)/(368640*O21*O21*O21*O21*O21)))</f>
        <v>#NUM!</v>
      </c>
    </row>
    <row r="23" spans="1:15">
      <c r="A23" s="310"/>
      <c r="B23" s="31" t="e">
        <f>ResultFormat!F77</f>
        <v>#NUM!</v>
      </c>
      <c r="C23" s="30" t="s">
        <v>180</v>
      </c>
      <c r="D23" s="30">
        <f>COUNT(B21:B24)</f>
        <v>0</v>
      </c>
      <c r="E23" t="s">
        <v>158</v>
      </c>
      <c r="F23" t="e">
        <f>(-L22+SQRT(L22^2-4*L21*L23))/(2*L21)</f>
        <v>#NUM!</v>
      </c>
      <c r="K23" t="s">
        <v>179</v>
      </c>
      <c r="L23" t="e">
        <f>D21^2-O22^2*D22^2/D23</f>
        <v>#NUM!</v>
      </c>
    </row>
    <row r="24" spans="1:15">
      <c r="A24" s="310"/>
      <c r="B24" s="31" t="e">
        <f>ResultFormat!F78</f>
        <v>#NUM!</v>
      </c>
    </row>
    <row r="25" spans="1:15">
      <c r="A25" s="310" t="s">
        <v>167</v>
      </c>
      <c r="B25" s="31" t="e">
        <f>ResultFormat!G75</f>
        <v>#NUM!</v>
      </c>
      <c r="C25" s="30" t="s">
        <v>178</v>
      </c>
      <c r="D25" s="32" t="e">
        <f>AVERAGE(B25:B28)</f>
        <v>#NUM!</v>
      </c>
      <c r="E25" t="s">
        <v>160</v>
      </c>
      <c r="F25" t="e">
        <f>D25/$D$5</f>
        <v>#NUM!</v>
      </c>
      <c r="K25" t="s">
        <v>177</v>
      </c>
      <c r="L25" t="e">
        <f>$D$5^2-O26^2*$D$6^2/$D$7</f>
        <v>#NUM!</v>
      </c>
      <c r="N25" t="s">
        <v>176</v>
      </c>
      <c r="O25" t="e">
        <f>($D$6^2/$D$7+D26^2/D27)^2/(($D$6^2/$D$7)^2/($D$7-1)+((D26^2/D27)^2/(D27-1)))</f>
        <v>#NUM!</v>
      </c>
    </row>
    <row r="26" spans="1:15">
      <c r="A26" s="310"/>
      <c r="B26" s="31" t="e">
        <f>ResultFormat!G76</f>
        <v>#NUM!</v>
      </c>
      <c r="C26" s="30" t="s">
        <v>175</v>
      </c>
      <c r="D26" s="30" t="e">
        <f>_xlfn.STDEV.S(B25:B28)</f>
        <v>#NUM!</v>
      </c>
      <c r="E26" t="s">
        <v>159</v>
      </c>
      <c r="F26" t="e">
        <f>(-L26-SQRT(L26^2-4*L25*L27))/(2*L25)</f>
        <v>#NUM!</v>
      </c>
      <c r="K26" t="s">
        <v>182</v>
      </c>
      <c r="L26" t="e">
        <f>-2*$D$5*D25</f>
        <v>#NUM!</v>
      </c>
      <c r="N26" t="s">
        <v>181</v>
      </c>
      <c r="O26" t="e">
        <f>$L$1*(1+($L$2+1)/(4*O25)+((5*$L$2+16)*$L$2+3)/(96*O25*O25)+(((3*$L$2+19)*$L$2+17)*$L$2-15)/(384*O25*O25*O25)+((((79*$L$2+776)*$L$2+1482)*$L$2-1920*$L$2-945)/(92160*O25*O25*O25*O25)+(((((27*$L$2+339)*$L$2+930)*$L$2-1782)*$L$2-765)*$L$2+17955)/(368640*O25*O25*O25*O25*O25)))</f>
        <v>#NUM!</v>
      </c>
    </row>
    <row r="27" spans="1:15">
      <c r="A27" s="310"/>
      <c r="B27" s="31" t="e">
        <f>ResultFormat!G77</f>
        <v>#NUM!</v>
      </c>
      <c r="C27" s="30" t="s">
        <v>180</v>
      </c>
      <c r="D27" s="30">
        <f>COUNT(B25:B28)</f>
        <v>0</v>
      </c>
      <c r="E27" t="s">
        <v>158</v>
      </c>
      <c r="F27" t="e">
        <f>(-L26+SQRT(L26^2-4*L25*L27))/(2*L25)</f>
        <v>#NUM!</v>
      </c>
      <c r="K27" t="s">
        <v>179</v>
      </c>
      <c r="L27" t="e">
        <f>D25^2-O26^2*D26^2/D27</f>
        <v>#NUM!</v>
      </c>
    </row>
    <row r="28" spans="1:15">
      <c r="A28" s="310"/>
      <c r="B28" s="31" t="e">
        <f>ResultFormat!G78</f>
        <v>#NUM!</v>
      </c>
    </row>
    <row r="29" spans="1:15">
      <c r="A29" s="310" t="s">
        <v>166</v>
      </c>
      <c r="B29" s="31" t="e">
        <f>ResultFormat!H75</f>
        <v>#NUM!</v>
      </c>
      <c r="C29" s="30" t="s">
        <v>178</v>
      </c>
      <c r="D29" s="32" t="e">
        <f>AVERAGE(B29:B32)</f>
        <v>#NUM!</v>
      </c>
      <c r="E29" t="s">
        <v>160</v>
      </c>
      <c r="F29" t="e">
        <f>D29/$D$5</f>
        <v>#NUM!</v>
      </c>
      <c r="K29" t="s">
        <v>177</v>
      </c>
      <c r="L29" t="e">
        <f>$D$5^2-O30^2*$D$6^2/$D$7</f>
        <v>#NUM!</v>
      </c>
      <c r="N29" t="s">
        <v>176</v>
      </c>
      <c r="O29" t="e">
        <f>($D$6^2/$D$7+D30^2/D31)^2/(($D$6^2/$D$7)^2/($D$7-1)+((D30^2/D31)^2/(D31-1)))</f>
        <v>#NUM!</v>
      </c>
    </row>
    <row r="30" spans="1:15">
      <c r="A30" s="310"/>
      <c r="B30" s="31" t="e">
        <f>ResultFormat!H76</f>
        <v>#NUM!</v>
      </c>
      <c r="C30" s="30" t="s">
        <v>175</v>
      </c>
      <c r="D30" s="30" t="e">
        <f>_xlfn.STDEV.S(B29:B32)</f>
        <v>#NUM!</v>
      </c>
      <c r="E30" t="s">
        <v>159</v>
      </c>
      <c r="F30" t="e">
        <f>(-L30-SQRT(L30^2-4*L29*L31))/(2*L29)</f>
        <v>#NUM!</v>
      </c>
      <c r="K30" t="s">
        <v>182</v>
      </c>
      <c r="L30" t="e">
        <f>-2*$D$5*D29</f>
        <v>#NUM!</v>
      </c>
      <c r="N30" t="s">
        <v>181</v>
      </c>
      <c r="O30" t="e">
        <f>$L$1*(1+($L$2+1)/(4*O29)+((5*$L$2+16)*$L$2+3)/(96*O29*O29)+(((3*$L$2+19)*$L$2+17)*$L$2-15)/(384*O29*O29*O29)+((((79*$L$2+776)*$L$2+1482)*$L$2-1920*$L$2-945)/(92160*O29*O29*O29*O29)+(((((27*$L$2+339)*$L$2+930)*$L$2-1782)*$L$2-765)*$L$2+17955)/(368640*O29*O29*O29*O29*O29)))</f>
        <v>#NUM!</v>
      </c>
    </row>
    <row r="31" spans="1:15">
      <c r="A31" s="310"/>
      <c r="B31" s="31" t="e">
        <f>ResultFormat!H77</f>
        <v>#NUM!</v>
      </c>
      <c r="C31" s="30" t="s">
        <v>180</v>
      </c>
      <c r="D31" s="30">
        <f>COUNT(B29:B32)</f>
        <v>0</v>
      </c>
      <c r="E31" t="s">
        <v>158</v>
      </c>
      <c r="F31" t="e">
        <f>(-L30+SQRT(L30^2-4*L29*L31))/(2*L29)</f>
        <v>#NUM!</v>
      </c>
      <c r="K31" t="s">
        <v>179</v>
      </c>
      <c r="L31" t="e">
        <f>D29^2-O30^2*D30^2/D31</f>
        <v>#NUM!</v>
      </c>
    </row>
    <row r="32" spans="1:15">
      <c r="A32" s="310"/>
      <c r="B32" s="31" t="e">
        <f>ResultFormat!H78</f>
        <v>#NUM!</v>
      </c>
    </row>
    <row r="33" spans="1:15">
      <c r="A33" s="310" t="s">
        <v>165</v>
      </c>
      <c r="B33" s="31" t="e">
        <f>ResultFormat!I75</f>
        <v>#NUM!</v>
      </c>
      <c r="C33" s="30" t="s">
        <v>178</v>
      </c>
      <c r="D33" s="32" t="e">
        <f>AVERAGE(B33:B36)</f>
        <v>#NUM!</v>
      </c>
      <c r="E33" t="s">
        <v>160</v>
      </c>
      <c r="F33" t="e">
        <f>D33/$D$5</f>
        <v>#NUM!</v>
      </c>
      <c r="K33" t="s">
        <v>177</v>
      </c>
      <c r="L33" t="e">
        <f>$D$5^2-O34^2*$D$6^2/$D$7</f>
        <v>#NUM!</v>
      </c>
      <c r="N33" t="s">
        <v>176</v>
      </c>
      <c r="O33" t="e">
        <f>($D$6^2/$D$7+D34^2/D35)^2/(($D$6^2/$D$7)^2/($D$7-1)+((D34^2/D35)^2/(D35-1)))</f>
        <v>#NUM!</v>
      </c>
    </row>
    <row r="34" spans="1:15">
      <c r="A34" s="310"/>
      <c r="B34" s="31" t="e">
        <f>ResultFormat!I76</f>
        <v>#NUM!</v>
      </c>
      <c r="C34" s="30" t="s">
        <v>175</v>
      </c>
      <c r="D34" s="30" t="e">
        <f>_xlfn.STDEV.S(B33:B36)</f>
        <v>#NUM!</v>
      </c>
      <c r="E34" t="s">
        <v>159</v>
      </c>
      <c r="F34" t="e">
        <f>(-L34-SQRT(L34^2-4*L33*L35))/(2*L33)</f>
        <v>#NUM!</v>
      </c>
      <c r="K34" t="s">
        <v>182</v>
      </c>
      <c r="L34" t="e">
        <f>-2*$D$5*D33</f>
        <v>#NUM!</v>
      </c>
      <c r="N34" t="s">
        <v>181</v>
      </c>
      <c r="O34" t="e">
        <f>$L$1*(1+($L$2+1)/(4*O33)+((5*$L$2+16)*$L$2+3)/(96*O33*O33)+(((3*$L$2+19)*$L$2+17)*$L$2-15)/(384*O33*O33*O33)+((((79*$L$2+776)*$L$2+1482)*$L$2-1920*$L$2-945)/(92160*O33*O33*O33*O33)+(((((27*$L$2+339)*$L$2+930)*$L$2-1782)*$L$2-765)*$L$2+17955)/(368640*O33*O33*O33*O33*O33)))</f>
        <v>#NUM!</v>
      </c>
    </row>
    <row r="35" spans="1:15">
      <c r="A35" s="310"/>
      <c r="B35" s="31" t="e">
        <f>ResultFormat!I77</f>
        <v>#NUM!</v>
      </c>
      <c r="C35" s="30" t="s">
        <v>180</v>
      </c>
      <c r="D35" s="30">
        <f>COUNT(B33:B36)</f>
        <v>0</v>
      </c>
      <c r="E35" t="s">
        <v>158</v>
      </c>
      <c r="F35" t="e">
        <f>(-L34+SQRT(L34^2-4*L33*L35))/(2*L33)</f>
        <v>#NUM!</v>
      </c>
      <c r="K35" t="s">
        <v>179</v>
      </c>
      <c r="L35" t="e">
        <f>D33^2-O34^2*D34^2/D35</f>
        <v>#NUM!</v>
      </c>
    </row>
    <row r="36" spans="1:15">
      <c r="A36" s="310"/>
      <c r="B36" s="31" t="e">
        <f>ResultFormat!I78</f>
        <v>#NUM!</v>
      </c>
    </row>
    <row r="37" spans="1:15">
      <c r="A37" s="310" t="s">
        <v>164</v>
      </c>
      <c r="B37" s="31" t="e">
        <f>ResultFormat!J75</f>
        <v>#NUM!</v>
      </c>
      <c r="C37" s="30" t="s">
        <v>178</v>
      </c>
      <c r="D37" s="32" t="e">
        <f>AVERAGE(B37:B40)</f>
        <v>#NUM!</v>
      </c>
      <c r="E37" t="s">
        <v>160</v>
      </c>
      <c r="F37" t="e">
        <f>D37/$D$5</f>
        <v>#NUM!</v>
      </c>
      <c r="K37" t="s">
        <v>177</v>
      </c>
      <c r="L37" t="e">
        <f>$D$5^2-O38^2*$D$6^2/$D$7</f>
        <v>#NUM!</v>
      </c>
      <c r="N37" t="s">
        <v>176</v>
      </c>
      <c r="O37" t="e">
        <f>($D$6^2/$D$7+D38^2/D39)^2/(($D$6^2/$D$7)^2/($D$7-1)+((D38^2/D39)^2/(D39-1)))</f>
        <v>#NUM!</v>
      </c>
    </row>
    <row r="38" spans="1:15">
      <c r="A38" s="310"/>
      <c r="B38" s="31" t="e">
        <f>ResultFormat!J76</f>
        <v>#NUM!</v>
      </c>
      <c r="C38" s="30" t="s">
        <v>175</v>
      </c>
      <c r="D38" s="30" t="e">
        <f>_xlfn.STDEV.S(B37:B40)</f>
        <v>#NUM!</v>
      </c>
      <c r="E38" t="s">
        <v>159</v>
      </c>
      <c r="F38" t="e">
        <f>(-L38-SQRT(L38^2-4*L37*L39))/(2*L37)</f>
        <v>#NUM!</v>
      </c>
      <c r="K38" t="s">
        <v>182</v>
      </c>
      <c r="L38" t="e">
        <f>-2*$D$5*D37</f>
        <v>#NUM!</v>
      </c>
      <c r="N38" t="s">
        <v>181</v>
      </c>
      <c r="O38" t="e">
        <f>$L$1*(1+($L$2+1)/(4*O37)+((5*$L$2+16)*$L$2+3)/(96*O37*O37)+(((3*$L$2+19)*$L$2+17)*$L$2-15)/(384*O37*O37*O37)+((((79*$L$2+776)*$L$2+1482)*$L$2-1920*$L$2-945)/(92160*O37*O37*O37*O37)+(((((27*$L$2+339)*$L$2+930)*$L$2-1782)*$L$2-765)*$L$2+17955)/(368640*O37*O37*O37*O37*O37)))</f>
        <v>#NUM!</v>
      </c>
    </row>
    <row r="39" spans="1:15">
      <c r="A39" s="310"/>
      <c r="B39" s="31" t="e">
        <f>ResultFormat!J77</f>
        <v>#NUM!</v>
      </c>
      <c r="C39" s="30" t="s">
        <v>180</v>
      </c>
      <c r="D39" s="30">
        <f>COUNT(B37:B40)</f>
        <v>0</v>
      </c>
      <c r="E39" t="s">
        <v>158</v>
      </c>
      <c r="F39" t="e">
        <f>(-L38+SQRT(L38^2-4*L37*L39))/(2*L37)</f>
        <v>#NUM!</v>
      </c>
      <c r="K39" t="s">
        <v>179</v>
      </c>
      <c r="L39" t="e">
        <f>D37^2-O38^2*D38^2/D39</f>
        <v>#NUM!</v>
      </c>
    </row>
    <row r="40" spans="1:15">
      <c r="A40" s="310"/>
      <c r="B40" s="31" t="e">
        <f>ResultFormat!J78</f>
        <v>#NUM!</v>
      </c>
    </row>
    <row r="41" spans="1:15">
      <c r="A41" s="310" t="s">
        <v>163</v>
      </c>
      <c r="B41" s="31" t="e">
        <f>ResultFormat!K75</f>
        <v>#NUM!</v>
      </c>
      <c r="C41" s="30" t="s">
        <v>178</v>
      </c>
      <c r="D41" s="32" t="e">
        <f>AVERAGE(B41:B44)</f>
        <v>#NUM!</v>
      </c>
      <c r="E41" t="s">
        <v>160</v>
      </c>
      <c r="F41" t="e">
        <f>D41/$D$5</f>
        <v>#NUM!</v>
      </c>
      <c r="K41" t="s">
        <v>177</v>
      </c>
      <c r="L41" t="e">
        <f>$D$5^2-O42^2*$D$6^2/$D$7</f>
        <v>#NUM!</v>
      </c>
      <c r="N41" t="s">
        <v>176</v>
      </c>
      <c r="O41" t="e">
        <f>($D$6^2/$D$7+D42^2/D43)^2/(($D$6^2/$D$7)^2/($D$7-1)+((D42^2/D43)^2/(D43-1)))</f>
        <v>#NUM!</v>
      </c>
    </row>
    <row r="42" spans="1:15">
      <c r="A42" s="310"/>
      <c r="B42" s="31" t="e">
        <f>ResultFormat!K76</f>
        <v>#NUM!</v>
      </c>
      <c r="C42" s="30" t="s">
        <v>175</v>
      </c>
      <c r="D42" s="30" t="e">
        <f>_xlfn.STDEV.S(B41:B44)</f>
        <v>#NUM!</v>
      </c>
      <c r="E42" t="s">
        <v>159</v>
      </c>
      <c r="F42" t="e">
        <f>(-L42-SQRT(L42^2-4*L41*L43))/(2*L41)</f>
        <v>#NUM!</v>
      </c>
      <c r="K42" t="s">
        <v>182</v>
      </c>
      <c r="L42" t="e">
        <f>-2*$D$5*D41</f>
        <v>#NUM!</v>
      </c>
      <c r="N42" t="s">
        <v>181</v>
      </c>
      <c r="O42" t="e">
        <f>$L$1*(1+($L$2+1)/(4*O41)+((5*$L$2+16)*$L$2+3)/(96*O41*O41)+(((3*$L$2+19)*$L$2+17)*$L$2-15)/(384*O41*O41*O41)+((((79*$L$2+776)*$L$2+1482)*$L$2-1920*$L$2-945)/(92160*O41*O41*O41*O41)+(((((27*$L$2+339)*$L$2+930)*$L$2-1782)*$L$2-765)*$L$2+17955)/(368640*O41*O41*O41*O41*O41)))</f>
        <v>#NUM!</v>
      </c>
    </row>
    <row r="43" spans="1:15">
      <c r="A43" s="310"/>
      <c r="B43" s="31" t="e">
        <f>ResultFormat!K77</f>
        <v>#NUM!</v>
      </c>
      <c r="C43" s="30" t="s">
        <v>180</v>
      </c>
      <c r="D43" s="30">
        <f>COUNT(B41:B44)</f>
        <v>0</v>
      </c>
      <c r="E43" t="s">
        <v>158</v>
      </c>
      <c r="F43" t="e">
        <f>(-L42+SQRT(L42^2-4*L41*L43))/(2*L41)</f>
        <v>#NUM!</v>
      </c>
      <c r="K43" t="s">
        <v>179</v>
      </c>
      <c r="L43" t="e">
        <f>D41^2-O42^2*D42^2/D43</f>
        <v>#NUM!</v>
      </c>
    </row>
    <row r="44" spans="1:15">
      <c r="A44" s="310"/>
      <c r="B44" s="31" t="e">
        <f>ResultFormat!K78</f>
        <v>#NUM!</v>
      </c>
    </row>
    <row r="45" spans="1:15">
      <c r="A45" s="310" t="s">
        <v>162</v>
      </c>
      <c r="B45" s="31" t="e">
        <f>ResultFormat!L75</f>
        <v>#NUM!</v>
      </c>
      <c r="C45" s="30" t="s">
        <v>178</v>
      </c>
      <c r="D45" s="32" t="e">
        <f>AVERAGE(B45:B48)</f>
        <v>#NUM!</v>
      </c>
      <c r="E45" t="s">
        <v>160</v>
      </c>
      <c r="F45" t="e">
        <f>D45/$D$5</f>
        <v>#NUM!</v>
      </c>
      <c r="K45" t="s">
        <v>177</v>
      </c>
      <c r="L45" t="e">
        <f>$D$5^2-O46^2*$D$6^2/$D$7</f>
        <v>#NUM!</v>
      </c>
      <c r="N45" t="s">
        <v>176</v>
      </c>
      <c r="O45" t="e">
        <f>($D$6^2/$D$7+D46^2/D47)^2/(($D$6^2/$D$7)^2/($D$7-1)+((D46^2/D47)^2/(D47-1)))</f>
        <v>#NUM!</v>
      </c>
    </row>
    <row r="46" spans="1:15">
      <c r="A46" s="310"/>
      <c r="B46" s="31" t="e">
        <f>ResultFormat!L76</f>
        <v>#NUM!</v>
      </c>
      <c r="C46" s="30" t="s">
        <v>175</v>
      </c>
      <c r="D46" s="30" t="e">
        <f>_xlfn.STDEV.S(B45:B48)</f>
        <v>#NUM!</v>
      </c>
      <c r="E46" t="s">
        <v>159</v>
      </c>
      <c r="F46" t="e">
        <f>(-L46-SQRT(L46^2-4*L45*L47))/(2*L45)</f>
        <v>#NUM!</v>
      </c>
      <c r="K46" t="s">
        <v>182</v>
      </c>
      <c r="L46" t="e">
        <f>-2*$D$5*D45</f>
        <v>#NUM!</v>
      </c>
      <c r="N46" t="s">
        <v>181</v>
      </c>
      <c r="O46" t="e">
        <f>$L$1*(1+($L$2+1)/(4*O45)+((5*$L$2+16)*$L$2+3)/(96*O45*O45)+(((3*$L$2+19)*$L$2+17)*$L$2-15)/(384*O45*O45*O45)+((((79*$L$2+776)*$L$2+1482)*$L$2-1920*$L$2-945)/(92160*O45*O45*O45*O45)+(((((27*$L$2+339)*$L$2+930)*$L$2-1782)*$L$2-765)*$L$2+17955)/(368640*O45*O45*O45*O45*O45)))</f>
        <v>#NUM!</v>
      </c>
    </row>
    <row r="47" spans="1:15">
      <c r="A47" s="310"/>
      <c r="B47" s="31" t="e">
        <f>ResultFormat!L77</f>
        <v>#NUM!</v>
      </c>
      <c r="C47" s="30" t="s">
        <v>180</v>
      </c>
      <c r="D47" s="30">
        <f>COUNT(B45:B48)</f>
        <v>0</v>
      </c>
      <c r="E47" t="s">
        <v>158</v>
      </c>
      <c r="F47" t="e">
        <f>(-L46+SQRT(L46^2-4*L45*L47))/(2*L45)</f>
        <v>#NUM!</v>
      </c>
      <c r="K47" t="s">
        <v>179</v>
      </c>
      <c r="L47" t="e">
        <f>D45^2-O46^2*D46^2/D47</f>
        <v>#NUM!</v>
      </c>
    </row>
    <row r="48" spans="1:15">
      <c r="A48" s="310"/>
      <c r="B48" s="31" t="e">
        <f>ResultFormat!L78</f>
        <v>#NUM!</v>
      </c>
    </row>
    <row r="49" spans="1:15">
      <c r="A49" s="310" t="s">
        <v>161</v>
      </c>
      <c r="B49" s="31" t="e">
        <f>ResultFormat!M75</f>
        <v>#NUM!</v>
      </c>
      <c r="C49" s="30" t="s">
        <v>178</v>
      </c>
      <c r="D49" s="32" t="e">
        <f>AVERAGE(B49:B52)</f>
        <v>#NUM!</v>
      </c>
      <c r="E49" t="s">
        <v>160</v>
      </c>
      <c r="F49" t="e">
        <f>D49/$D$5</f>
        <v>#NUM!</v>
      </c>
      <c r="K49" t="s">
        <v>177</v>
      </c>
      <c r="L49" t="e">
        <f>$D$5^2-O50^2*$D$6^2/$D$7</f>
        <v>#NUM!</v>
      </c>
      <c r="N49" t="s">
        <v>176</v>
      </c>
      <c r="O49" t="e">
        <f>($D$6^2/$D$7+D50^2/D51)^2/(($D$6^2/$D$7)^2/($D$7-1)+((D50^2/D51)^2/(D51-1)))</f>
        <v>#NUM!</v>
      </c>
    </row>
    <row r="50" spans="1:15">
      <c r="A50" s="310"/>
      <c r="B50" s="31" t="e">
        <f>ResultFormat!M76</f>
        <v>#NUM!</v>
      </c>
      <c r="C50" s="30" t="s">
        <v>175</v>
      </c>
      <c r="D50" s="30" t="e">
        <f>_xlfn.STDEV.S(B49:B52)</f>
        <v>#NUM!</v>
      </c>
      <c r="E50" t="s">
        <v>159</v>
      </c>
      <c r="F50" t="e">
        <f>(-L50-SQRT(L50^2-4*L49*L51))/(2*L49)</f>
        <v>#NUM!</v>
      </c>
      <c r="K50" t="s">
        <v>174</v>
      </c>
      <c r="L50" t="e">
        <f>-2*$D$5*D49</f>
        <v>#NUM!</v>
      </c>
      <c r="N50" t="s">
        <v>173</v>
      </c>
      <c r="O50" t="e">
        <f>$L$1*(1+($L$2+1)/(4*O49)+((5*$L$2+16)*$L$2+3)/(96*O49*O49)+(((3*$L$2+19)*$L$2+17)*$L$2-15)/(384*O49*O49*O49)+((((79*$L$2+776)*$L$2+1482)*$L$2-1920*$L$2-945)/(92160*O49*O49*O49*O49)+(((((27*$L$2+339)*$L$2+930)*$L$2-1782)*$L$2-765)*$L$2+17955)/(368640*O49*O49*O49*O49*O49)))</f>
        <v>#NUM!</v>
      </c>
    </row>
    <row r="51" spans="1:15">
      <c r="A51" s="310"/>
      <c r="B51" s="31" t="e">
        <f>ResultFormat!M77</f>
        <v>#NUM!</v>
      </c>
      <c r="C51" s="30" t="s">
        <v>172</v>
      </c>
      <c r="D51" s="30">
        <f>COUNT(B49:B52)</f>
        <v>0</v>
      </c>
      <c r="E51" t="s">
        <v>158</v>
      </c>
      <c r="F51" t="e">
        <f>(-L50+SQRT(L50^2-4*L49*L51))/(2*L49)</f>
        <v>#NUM!</v>
      </c>
      <c r="K51" t="s">
        <v>171</v>
      </c>
      <c r="L51" t="e">
        <f>D49^2-O50^2*D50^2/D51</f>
        <v>#NUM!</v>
      </c>
    </row>
    <row r="52" spans="1:15" ht="15" thickBot="1">
      <c r="A52" s="311"/>
      <c r="B52" s="31" t="e">
        <f>ResultFormat!M78</f>
        <v>#NUM!</v>
      </c>
    </row>
  </sheetData>
  <mergeCells count="12">
    <mergeCell ref="A25:A28"/>
    <mergeCell ref="A29:A32"/>
    <mergeCell ref="A5:A8"/>
    <mergeCell ref="A9:A12"/>
    <mergeCell ref="A13:A16"/>
    <mergeCell ref="A17:A20"/>
    <mergeCell ref="A21:A24"/>
    <mergeCell ref="A33:A36"/>
    <mergeCell ref="A37:A40"/>
    <mergeCell ref="A41:A44"/>
    <mergeCell ref="A45:A48"/>
    <mergeCell ref="A49:A52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0"/>
  <sheetViews>
    <sheetView workbookViewId="0">
      <selection activeCell="H20" sqref="H20"/>
    </sheetView>
  </sheetViews>
  <sheetFormatPr baseColWidth="10" defaultColWidth="8.796875" defaultRowHeight="14"/>
  <cols>
    <col min="2" max="2" width="15.19921875" customWidth="1"/>
    <col min="3" max="3" width="17.19921875" customWidth="1"/>
  </cols>
  <sheetData>
    <row r="1" spans="1:5">
      <c r="A1" s="10"/>
      <c r="B1" s="10"/>
      <c r="C1" s="10"/>
      <c r="D1" s="10"/>
      <c r="E1" s="10"/>
    </row>
    <row r="2" spans="1:5" ht="18">
      <c r="A2" s="10"/>
      <c r="B2" s="238"/>
      <c r="C2" s="239" t="s">
        <v>199</v>
      </c>
      <c r="D2" s="10"/>
      <c r="E2" s="10"/>
    </row>
    <row r="3" spans="1:5" ht="18">
      <c r="A3" s="10"/>
      <c r="B3" s="239" t="s">
        <v>48</v>
      </c>
      <c r="C3" s="240" t="e">
        <f>ResultFormat!P118</f>
        <v>#NUM!</v>
      </c>
      <c r="D3" s="10"/>
      <c r="E3" s="10"/>
    </row>
    <row r="4" spans="1:5" ht="18">
      <c r="A4" s="10"/>
      <c r="B4" s="239" t="s">
        <v>197</v>
      </c>
      <c r="C4" s="240" t="e">
        <f>Graph!W43</f>
        <v>#NUM!</v>
      </c>
      <c r="D4" s="10"/>
      <c r="E4" s="10"/>
    </row>
    <row r="5" spans="1:5" ht="18">
      <c r="A5" s="10"/>
      <c r="B5" s="239" t="s">
        <v>198</v>
      </c>
      <c r="C5" s="240" t="e">
        <f>Graph!W44</f>
        <v>#NUM!</v>
      </c>
      <c r="D5" s="10"/>
      <c r="E5" s="10"/>
    </row>
    <row r="6" spans="1:5">
      <c r="A6" s="10"/>
      <c r="B6" s="10"/>
      <c r="C6" s="10"/>
      <c r="D6" s="10"/>
      <c r="E6" s="10"/>
    </row>
    <row r="7" spans="1:5">
      <c r="A7" s="10"/>
      <c r="B7" s="10"/>
      <c r="C7" s="10"/>
      <c r="D7" s="10"/>
      <c r="E7" s="10"/>
    </row>
    <row r="8" spans="1:5">
      <c r="A8" s="10"/>
      <c r="B8" s="10"/>
      <c r="C8" s="10"/>
      <c r="D8" s="10"/>
      <c r="E8" s="10"/>
    </row>
    <row r="9" spans="1:5">
      <c r="A9" s="10"/>
      <c r="B9" s="10"/>
      <c r="C9" s="10"/>
      <c r="D9" s="10"/>
      <c r="E9" s="10"/>
    </row>
    <row r="10" spans="1:5">
      <c r="A10" s="10"/>
      <c r="B10" s="10"/>
      <c r="C10" s="10"/>
      <c r="D10" s="10"/>
      <c r="E10" s="10"/>
    </row>
  </sheetData>
  <phoneticPr fontId="1"/>
  <pageMargins left="0.7" right="0.7" top="0.75" bottom="0.75" header="0.3" footer="0.3"/>
  <pageSetup paperSize="9" orientation="portrait" horizontalDpi="0" verticalDpi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Q116"/>
  <sheetViews>
    <sheetView zoomScaleNormal="100" zoomScalePageLayoutView="130" workbookViewId="0">
      <selection activeCell="B1" sqref="B1"/>
    </sheetView>
  </sheetViews>
  <sheetFormatPr baseColWidth="10" defaultColWidth="8.796875" defaultRowHeight="14"/>
  <sheetData>
    <row r="1" spans="1:17">
      <c r="B1" s="10" t="s">
        <v>339</v>
      </c>
    </row>
    <row r="2" spans="1:17">
      <c r="B2" s="10" t="s">
        <v>340</v>
      </c>
    </row>
    <row r="4" spans="1:17">
      <c r="A4" s="10"/>
      <c r="B4" s="10" t="s">
        <v>334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</row>
    <row r="5" spans="1:17">
      <c r="A5" s="10"/>
      <c r="B5" s="10" t="s">
        <v>335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>
      <c r="A7" s="10"/>
      <c r="B7" s="10" t="s">
        <v>272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</row>
    <row r="8" spans="1:17">
      <c r="A8" s="10"/>
      <c r="B8" s="10" t="s">
        <v>307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</row>
    <row r="9" spans="1:17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</row>
    <row r="10" spans="1:17">
      <c r="A10" s="10"/>
      <c r="B10" s="10" t="s">
        <v>297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</row>
    <row r="11" spans="1:17">
      <c r="A11" s="10"/>
      <c r="B11" s="10" t="s">
        <v>303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</row>
    <row r="12" spans="1:17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</row>
    <row r="13" spans="1:17">
      <c r="A13" s="10"/>
      <c r="B13" s="10" t="s">
        <v>296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 spans="1:17">
      <c r="A14" s="10"/>
      <c r="B14" s="10" t="s">
        <v>308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</row>
    <row r="15" spans="1:17">
      <c r="A15" s="10"/>
      <c r="B15" s="10" t="s">
        <v>298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</row>
    <row r="16" spans="1:17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</row>
    <row r="17" spans="1:17">
      <c r="A17" s="10"/>
      <c r="B17" s="10" t="s">
        <v>295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</row>
    <row r="18" spans="1:17">
      <c r="A18" s="10"/>
      <c r="B18" s="10" t="s">
        <v>299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</row>
    <row r="19" spans="1:17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</row>
    <row r="20" spans="1:17">
      <c r="A20" s="10"/>
      <c r="B20" s="10" t="s">
        <v>294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</row>
    <row r="21" spans="1:17">
      <c r="A21" s="10"/>
      <c r="B21" s="10" t="s">
        <v>304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pans="1:17">
      <c r="A22" s="10"/>
      <c r="B22" s="10" t="s">
        <v>298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</row>
    <row r="23" spans="1:17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</row>
    <row r="24" spans="1:17">
      <c r="A24" s="10"/>
      <c r="B24" s="10" t="s">
        <v>293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</row>
    <row r="25" spans="1:17">
      <c r="A25" s="10"/>
      <c r="B25" s="10" t="s">
        <v>284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</row>
    <row r="26" spans="1:17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</row>
    <row r="27" spans="1:17">
      <c r="A27" s="10"/>
      <c r="B27" s="10" t="s">
        <v>292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</row>
    <row r="28" spans="1:17">
      <c r="A28" s="10"/>
      <c r="B28" s="10" t="s">
        <v>298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</row>
    <row r="29" spans="1:17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</row>
    <row r="30" spans="1:17">
      <c r="A30" s="10"/>
      <c r="B30" s="10" t="s">
        <v>291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</row>
    <row r="31" spans="1:17">
      <c r="A31" s="10"/>
      <c r="B31" s="10" t="s">
        <v>300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</row>
    <row r="32" spans="1:17">
      <c r="A32" s="10"/>
      <c r="B32" s="10" t="s">
        <v>309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</row>
    <row r="33" spans="1:17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</row>
    <row r="34" spans="1:17">
      <c r="A34" s="10"/>
      <c r="B34" s="10" t="s">
        <v>271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1:17">
      <c r="A35" s="10"/>
      <c r="B35" s="10" t="s">
        <v>310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</row>
    <row r="36" spans="1:17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</row>
    <row r="37" spans="1:17">
      <c r="A37" s="10"/>
      <c r="B37" s="10" t="s">
        <v>270</v>
      </c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</row>
    <row r="38" spans="1:17">
      <c r="A38" s="10"/>
      <c r="B38" s="10" t="s">
        <v>305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</row>
    <row r="39" spans="1:17">
      <c r="A39" s="10"/>
      <c r="B39" s="10" t="s">
        <v>287</v>
      </c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</row>
    <row r="40" spans="1:17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</row>
    <row r="41" spans="1:17">
      <c r="A41" s="10"/>
      <c r="B41" s="10" t="s">
        <v>269</v>
      </c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</row>
    <row r="42" spans="1:17">
      <c r="A42" s="10"/>
      <c r="B42" s="10" t="s">
        <v>301</v>
      </c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</row>
    <row r="43" spans="1:17">
      <c r="A43" s="10"/>
      <c r="B43" s="10" t="s">
        <v>302</v>
      </c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</row>
    <row r="44" spans="1:17">
      <c r="A44" s="10"/>
      <c r="B44" s="10" t="s">
        <v>283</v>
      </c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</row>
    <row r="45" spans="1:17">
      <c r="A45" s="10"/>
      <c r="B45" s="10" t="s">
        <v>306</v>
      </c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</row>
    <row r="46" spans="1:17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</row>
    <row r="47" spans="1:17">
      <c r="A47" s="10"/>
      <c r="B47" s="10" t="s">
        <v>268</v>
      </c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</row>
    <row r="48" spans="1:17">
      <c r="A48" s="10"/>
      <c r="B48" s="10" t="s">
        <v>282</v>
      </c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</row>
    <row r="49" spans="1:17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</row>
    <row r="50" spans="1:17">
      <c r="A50" s="10"/>
      <c r="B50" s="10" t="s">
        <v>267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</row>
    <row r="51" spans="1:17">
      <c r="A51" s="10"/>
      <c r="B51" s="10" t="s">
        <v>311</v>
      </c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</row>
    <row r="52" spans="1:17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</row>
    <row r="53" spans="1:17">
      <c r="A53" s="10"/>
      <c r="B53" s="10" t="s">
        <v>266</v>
      </c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</row>
    <row r="54" spans="1:17">
      <c r="A54" s="10"/>
      <c r="B54" s="10" t="s">
        <v>288</v>
      </c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</row>
    <row r="55" spans="1:17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</row>
    <row r="56" spans="1:17">
      <c r="A56" s="10"/>
      <c r="B56" s="10" t="s">
        <v>290</v>
      </c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</row>
    <row r="57" spans="1:17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</row>
    <row r="58" spans="1:17">
      <c r="A58" s="10"/>
      <c r="B58" s="10" t="s">
        <v>265</v>
      </c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</row>
    <row r="59" spans="1:17">
      <c r="A59" s="10"/>
      <c r="B59" s="10" t="s">
        <v>281</v>
      </c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</row>
    <row r="60" spans="1:17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</row>
    <row r="61" spans="1:17">
      <c r="A61" s="10"/>
      <c r="B61" s="10" t="s">
        <v>289</v>
      </c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</row>
    <row r="62" spans="1:17">
      <c r="A62" s="10"/>
      <c r="B62" s="10" t="s">
        <v>312</v>
      </c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</row>
    <row r="63" spans="1:17">
      <c r="A63" s="10"/>
      <c r="B63" s="10" t="s">
        <v>313</v>
      </c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</row>
    <row r="64" spans="1:17">
      <c r="A64" s="10"/>
      <c r="B64" s="10" t="s">
        <v>314</v>
      </c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</row>
    <row r="65" spans="1:17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</row>
    <row r="66" spans="1:17">
      <c r="A66" s="10"/>
      <c r="B66" s="10" t="s">
        <v>264</v>
      </c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</row>
    <row r="67" spans="1:17">
      <c r="A67" s="10"/>
      <c r="B67" s="10" t="s">
        <v>286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</row>
    <row r="68" spans="1:17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</row>
    <row r="69" spans="1:17">
      <c r="A69" s="10"/>
      <c r="B69" s="10" t="s">
        <v>263</v>
      </c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</row>
    <row r="70" spans="1:17">
      <c r="A70" s="10"/>
      <c r="B70" s="10" t="s">
        <v>280</v>
      </c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</row>
    <row r="71" spans="1:17">
      <c r="A71" s="10"/>
      <c r="B71" s="10" t="s">
        <v>278</v>
      </c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</row>
    <row r="72" spans="1:17">
      <c r="A72" s="10"/>
      <c r="B72" s="10" t="s">
        <v>279</v>
      </c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</row>
    <row r="73" spans="1:17">
      <c r="A73" s="10"/>
      <c r="B73" s="10" t="s">
        <v>277</v>
      </c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</row>
    <row r="74" spans="1:17">
      <c r="A74" s="10"/>
      <c r="B74" s="10" t="s">
        <v>276</v>
      </c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</row>
    <row r="75" spans="1:17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</row>
    <row r="76" spans="1:17">
      <c r="A76" s="10"/>
      <c r="B76" s="10" t="s">
        <v>262</v>
      </c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</row>
    <row r="77" spans="1:17">
      <c r="A77" s="10"/>
      <c r="B77" s="10" t="s">
        <v>275</v>
      </c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</row>
    <row r="78" spans="1:17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</row>
    <row r="79" spans="1:17">
      <c r="A79" s="10"/>
      <c r="B79" s="10" t="s">
        <v>261</v>
      </c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</row>
    <row r="80" spans="1:17">
      <c r="A80" s="10"/>
      <c r="B80" s="10" t="s">
        <v>274</v>
      </c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</row>
    <row r="81" spans="1:17">
      <c r="A81" s="10"/>
      <c r="B81" s="10" t="s">
        <v>273</v>
      </c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</row>
    <row r="82" spans="1:17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</row>
    <row r="83" spans="1:17">
      <c r="A83" s="10"/>
      <c r="B83" s="10" t="s">
        <v>259</v>
      </c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</row>
    <row r="84" spans="1:17">
      <c r="A84" s="10"/>
      <c r="B84" s="10" t="s">
        <v>260</v>
      </c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</row>
    <row r="85" spans="1:17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</row>
    <row r="86" spans="1:17">
      <c r="A86" s="10"/>
      <c r="B86" s="10" t="s">
        <v>258</v>
      </c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</row>
    <row r="87" spans="1:17">
      <c r="A87" s="10"/>
      <c r="B87" s="10" t="s">
        <v>257</v>
      </c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</row>
    <row r="88" spans="1:17">
      <c r="A88" s="10"/>
      <c r="B88" s="10" t="s">
        <v>256</v>
      </c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</row>
    <row r="89" spans="1:17" ht="14" customHeight="1">
      <c r="A89" s="10"/>
      <c r="B89" s="313" t="s">
        <v>255</v>
      </c>
      <c r="C89" s="313"/>
      <c r="D89" s="313"/>
      <c r="E89" s="313"/>
      <c r="F89" s="313"/>
      <c r="G89" s="313"/>
      <c r="H89" s="313"/>
      <c r="I89" s="313"/>
      <c r="J89" s="10"/>
      <c r="K89" s="10"/>
      <c r="L89" s="10"/>
      <c r="M89" s="10"/>
      <c r="N89" s="10"/>
      <c r="O89" s="10"/>
      <c r="P89" s="10"/>
      <c r="Q89" s="10"/>
    </row>
    <row r="90" spans="1:17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</row>
    <row r="91" spans="1:17">
      <c r="A91" s="10"/>
      <c r="B91" s="10" t="s">
        <v>285</v>
      </c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</row>
    <row r="92" spans="1:17">
      <c r="A92" s="10"/>
      <c r="B92" s="10" t="s">
        <v>253</v>
      </c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</row>
    <row r="93" spans="1:17">
      <c r="A93" s="10"/>
      <c r="B93" s="10" t="s">
        <v>252</v>
      </c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</row>
    <row r="94" spans="1:17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</row>
    <row r="95" spans="1:17">
      <c r="A95" s="10"/>
      <c r="B95" s="10" t="s">
        <v>250</v>
      </c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</row>
    <row r="96" spans="1:17">
      <c r="A96" s="10"/>
      <c r="B96" s="10" t="s">
        <v>251</v>
      </c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</row>
    <row r="97" spans="1:17">
      <c r="A97" s="10"/>
      <c r="B97" s="10" t="s">
        <v>254</v>
      </c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</row>
    <row r="98" spans="1:17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</row>
    <row r="99" spans="1:17">
      <c r="A99" s="10"/>
      <c r="B99" s="10" t="s">
        <v>58</v>
      </c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</row>
    <row r="100" spans="1:17">
      <c r="A100" s="10"/>
      <c r="B100" s="10" t="s">
        <v>249</v>
      </c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</row>
    <row r="101" spans="1:17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</row>
    <row r="102" spans="1:17">
      <c r="A102" s="10"/>
      <c r="B102" s="10" t="s">
        <v>248</v>
      </c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</row>
    <row r="103" spans="1:17">
      <c r="A103" s="10"/>
      <c r="B103" s="10" t="s">
        <v>245</v>
      </c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</row>
    <row r="104" spans="1:17">
      <c r="A104" s="10"/>
      <c r="B104" s="10" t="s">
        <v>246</v>
      </c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</row>
    <row r="105" spans="1:17">
      <c r="A105" s="10"/>
      <c r="B105" s="10" t="s">
        <v>247</v>
      </c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</row>
    <row r="106" spans="1:17">
      <c r="A106" s="10"/>
      <c r="B106" s="10" t="s">
        <v>244</v>
      </c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</row>
    <row r="107" spans="1:17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</row>
    <row r="108" spans="1:17">
      <c r="A108" s="10"/>
      <c r="B108" s="10" t="s">
        <v>338</v>
      </c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</row>
    <row r="109" spans="1:17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</row>
    <row r="110" spans="1:17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</row>
    <row r="111" spans="1:17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</row>
    <row r="112" spans="1:17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</row>
    <row r="113" spans="1:17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</row>
    <row r="114" spans="1:17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</row>
    <row r="115" spans="1:17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</row>
    <row r="116" spans="1:17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</row>
  </sheetData>
  <mergeCells count="1">
    <mergeCell ref="B89:I89"/>
  </mergeCells>
  <phoneticPr fontId="1"/>
  <pageMargins left="0.7" right="0.7" top="0.75" bottom="0.75" header="0.3" footer="0.3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1:I110"/>
  <sheetViews>
    <sheetView zoomScale="130" zoomScaleNormal="130" zoomScalePageLayoutView="130" workbookViewId="0">
      <selection activeCell="E4" sqref="E4"/>
    </sheetView>
  </sheetViews>
  <sheetFormatPr baseColWidth="10" defaultColWidth="8.796875" defaultRowHeight="14"/>
  <sheetData>
    <row r="1" spans="2:2">
      <c r="B1" t="s">
        <v>341</v>
      </c>
    </row>
    <row r="2" spans="2:2">
      <c r="B2" t="s">
        <v>342</v>
      </c>
    </row>
    <row r="4" spans="2:2">
      <c r="B4" t="s">
        <v>332</v>
      </c>
    </row>
    <row r="5" spans="2:2">
      <c r="B5" t="s">
        <v>333</v>
      </c>
    </row>
    <row r="7" spans="2:2">
      <c r="B7" t="s">
        <v>241</v>
      </c>
    </row>
    <row r="8" spans="2:2">
      <c r="B8" t="s">
        <v>242</v>
      </c>
    </row>
    <row r="10" spans="2:2">
      <c r="B10" t="s">
        <v>224</v>
      </c>
    </row>
    <row r="11" spans="2:2">
      <c r="B11" t="s">
        <v>225</v>
      </c>
    </row>
    <row r="13" spans="2:2">
      <c r="B13" t="s">
        <v>226</v>
      </c>
    </row>
    <row r="14" spans="2:2">
      <c r="B14" t="s">
        <v>220</v>
      </c>
    </row>
    <row r="15" spans="2:2">
      <c r="B15" t="s">
        <v>221</v>
      </c>
    </row>
    <row r="17" spans="2:2">
      <c r="B17" t="s">
        <v>218</v>
      </c>
    </row>
    <row r="18" spans="2:2">
      <c r="B18" t="s">
        <v>212</v>
      </c>
    </row>
    <row r="20" spans="2:2">
      <c r="B20" t="s">
        <v>219</v>
      </c>
    </row>
    <row r="21" spans="2:2">
      <c r="B21" t="s">
        <v>209</v>
      </c>
    </row>
    <row r="22" spans="2:2">
      <c r="B22" t="s">
        <v>210</v>
      </c>
    </row>
    <row r="24" spans="2:2">
      <c r="B24" t="s">
        <v>207</v>
      </c>
    </row>
    <row r="25" spans="2:2">
      <c r="B25" t="s">
        <v>208</v>
      </c>
    </row>
    <row r="27" spans="2:2">
      <c r="B27" t="s">
        <v>205</v>
      </c>
    </row>
    <row r="28" spans="2:2">
      <c r="B28" t="s">
        <v>206</v>
      </c>
    </row>
    <row r="30" spans="2:2">
      <c r="B30" t="s">
        <v>200</v>
      </c>
    </row>
    <row r="31" spans="2:2">
      <c r="B31" t="s">
        <v>201</v>
      </c>
    </row>
    <row r="32" spans="2:2">
      <c r="B32" t="s">
        <v>202</v>
      </c>
    </row>
    <row r="34" spans="2:2">
      <c r="B34" t="s">
        <v>156</v>
      </c>
    </row>
    <row r="35" spans="2:2">
      <c r="B35" t="s">
        <v>157</v>
      </c>
    </row>
    <row r="37" spans="2:2">
      <c r="B37" t="s">
        <v>153</v>
      </c>
    </row>
    <row r="38" spans="2:2">
      <c r="B38" t="s">
        <v>154</v>
      </c>
    </row>
    <row r="39" spans="2:2">
      <c r="B39" t="s">
        <v>155</v>
      </c>
    </row>
    <row r="41" spans="2:2">
      <c r="B41" t="s">
        <v>144</v>
      </c>
    </row>
    <row r="42" spans="2:2">
      <c r="B42" t="s">
        <v>145</v>
      </c>
    </row>
    <row r="43" spans="2:2">
      <c r="B43" t="s">
        <v>147</v>
      </c>
    </row>
    <row r="44" spans="2:2">
      <c r="B44" t="s">
        <v>146</v>
      </c>
    </row>
    <row r="45" spans="2:2">
      <c r="B45" t="s">
        <v>148</v>
      </c>
    </row>
    <row r="47" spans="2:2">
      <c r="B47" t="s">
        <v>142</v>
      </c>
    </row>
    <row r="48" spans="2:2">
      <c r="B48" t="s">
        <v>143</v>
      </c>
    </row>
    <row r="50" spans="2:2">
      <c r="B50" t="s">
        <v>139</v>
      </c>
    </row>
    <row r="51" spans="2:2">
      <c r="B51" t="s">
        <v>140</v>
      </c>
    </row>
    <row r="52" spans="2:2">
      <c r="B52" t="s">
        <v>141</v>
      </c>
    </row>
    <row r="54" spans="2:2">
      <c r="B54" t="s">
        <v>137</v>
      </c>
    </row>
    <row r="55" spans="2:2">
      <c r="B55" t="s">
        <v>138</v>
      </c>
    </row>
    <row r="57" spans="2:2">
      <c r="B57" t="s">
        <v>136</v>
      </c>
    </row>
    <row r="59" spans="2:2">
      <c r="B59" t="s">
        <v>134</v>
      </c>
    </row>
    <row r="60" spans="2:2">
      <c r="B60" t="s">
        <v>135</v>
      </c>
    </row>
    <row r="62" spans="2:2">
      <c r="B62" t="s">
        <v>122</v>
      </c>
    </row>
    <row r="63" spans="2:2">
      <c r="B63" t="s">
        <v>120</v>
      </c>
    </row>
    <row r="64" spans="2:2">
      <c r="B64" t="s">
        <v>118</v>
      </c>
    </row>
    <row r="65" spans="2:2">
      <c r="B65" t="s">
        <v>121</v>
      </c>
    </row>
    <row r="66" spans="2:2">
      <c r="B66" s="26" t="s">
        <v>119</v>
      </c>
    </row>
    <row r="68" spans="2:2">
      <c r="B68" t="s">
        <v>112</v>
      </c>
    </row>
    <row r="69" spans="2:2" ht="16">
      <c r="B69" t="s">
        <v>111</v>
      </c>
    </row>
    <row r="71" spans="2:2">
      <c r="B71" t="s">
        <v>103</v>
      </c>
    </row>
    <row r="72" spans="2:2">
      <c r="B72" t="s">
        <v>104</v>
      </c>
    </row>
    <row r="73" spans="2:2">
      <c r="B73" t="s">
        <v>106</v>
      </c>
    </row>
    <row r="74" spans="2:2">
      <c r="B74" t="s">
        <v>105</v>
      </c>
    </row>
    <row r="75" spans="2:2">
      <c r="B75" t="s">
        <v>107</v>
      </c>
    </row>
    <row r="76" spans="2:2">
      <c r="B76" t="s">
        <v>108</v>
      </c>
    </row>
    <row r="78" spans="2:2">
      <c r="B78" t="s">
        <v>89</v>
      </c>
    </row>
    <row r="79" spans="2:2">
      <c r="B79" t="s">
        <v>88</v>
      </c>
    </row>
    <row r="81" spans="2:9">
      <c r="B81" t="s">
        <v>85</v>
      </c>
    </row>
    <row r="82" spans="2:9">
      <c r="B82" t="s">
        <v>87</v>
      </c>
    </row>
    <row r="83" spans="2:9">
      <c r="B83" t="s">
        <v>86</v>
      </c>
    </row>
    <row r="85" spans="2:9">
      <c r="B85" t="s">
        <v>68</v>
      </c>
    </row>
    <row r="86" spans="2:9">
      <c r="B86" t="s">
        <v>67</v>
      </c>
    </row>
    <row r="88" spans="2:9">
      <c r="B88" t="s">
        <v>65</v>
      </c>
    </row>
    <row r="89" spans="2:9">
      <c r="B89" t="s">
        <v>50</v>
      </c>
    </row>
    <row r="90" spans="2:9">
      <c r="B90" t="s">
        <v>51</v>
      </c>
    </row>
    <row r="91" spans="2:9" ht="26.25" customHeight="1">
      <c r="B91" s="314" t="s">
        <v>69</v>
      </c>
      <c r="C91" s="314"/>
      <c r="D91" s="314"/>
      <c r="E91" s="314"/>
      <c r="F91" s="314"/>
      <c r="G91" s="314"/>
      <c r="H91" s="314"/>
      <c r="I91" s="314"/>
    </row>
    <row r="93" spans="2:9">
      <c r="B93" t="s">
        <v>53</v>
      </c>
    </row>
    <row r="94" spans="2:9">
      <c r="B94" t="s">
        <v>52</v>
      </c>
    </row>
    <row r="95" spans="2:9">
      <c r="B95" t="s">
        <v>54</v>
      </c>
    </row>
    <row r="97" spans="2:2">
      <c r="B97" t="s">
        <v>55</v>
      </c>
    </row>
    <row r="98" spans="2:2">
      <c r="B98" t="s">
        <v>56</v>
      </c>
    </row>
    <row r="99" spans="2:2">
      <c r="B99" t="s">
        <v>57</v>
      </c>
    </row>
    <row r="101" spans="2:2">
      <c r="B101" t="s">
        <v>58</v>
      </c>
    </row>
    <row r="102" spans="2:2">
      <c r="B102" t="s">
        <v>59</v>
      </c>
    </row>
    <row r="104" spans="2:2">
      <c r="B104" t="s">
        <v>60</v>
      </c>
    </row>
    <row r="105" spans="2:2">
      <c r="B105" t="s">
        <v>243</v>
      </c>
    </row>
    <row r="106" spans="2:2">
      <c r="B106" t="s">
        <v>61</v>
      </c>
    </row>
    <row r="107" spans="2:2">
      <c r="B107" t="s">
        <v>62</v>
      </c>
    </row>
    <row r="108" spans="2:2">
      <c r="B108" t="s">
        <v>63</v>
      </c>
    </row>
    <row r="110" spans="2:2">
      <c r="B110" t="s">
        <v>64</v>
      </c>
    </row>
  </sheetData>
  <mergeCells count="1">
    <mergeCell ref="B91:I91"/>
  </mergeCells>
  <phoneticPr fontId="1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4</vt:i4>
      </vt:variant>
    </vt:vector>
  </HeadingPairs>
  <TitlesOfParts>
    <vt:vector size="16" baseType="lpstr">
      <vt:lpstr>FaceSheet</vt:lpstr>
      <vt:lpstr>Data Input</vt:lpstr>
      <vt:lpstr>ResultFormat</vt:lpstr>
      <vt:lpstr>Graph</vt:lpstr>
      <vt:lpstr>LED</vt:lpstr>
      <vt:lpstr>Control</vt:lpstr>
      <vt:lpstr>Transmittance</vt:lpstr>
      <vt:lpstr>4NBB, Lactic acid</vt:lpstr>
      <vt:lpstr>95%</vt:lpstr>
      <vt:lpstr>Judge</vt:lpstr>
      <vt:lpstr>Update log</vt:lpstr>
      <vt:lpstr>Update log JP</vt:lpstr>
      <vt:lpstr>ResultFormat!ddw</vt:lpstr>
      <vt:lpstr>dissolved</vt:lpstr>
      <vt:lpstr>ResultFormat!DMSO</vt:lpstr>
      <vt:lpstr>not_dissolved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敦賀バイオ研究所</dc:creator>
  <cp:lastModifiedBy>aiba7268@gmail.com</cp:lastModifiedBy>
  <cp:lastPrinted>2013-11-27T04:45:11Z</cp:lastPrinted>
  <dcterms:created xsi:type="dcterms:W3CDTF">2007-08-23T07:48:33Z</dcterms:created>
  <dcterms:modified xsi:type="dcterms:W3CDTF">2023-08-20T08:17:50Z</dcterms:modified>
</cp:coreProperties>
</file>